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4845" yWindow="1620" windowWidth="7155" windowHeight="3495" tabRatio="607"/>
  </bookViews>
  <sheets>
    <sheet name="2014-2017 Projects" sheetId="2" r:id="rId1"/>
    <sheet name="Summaries" sheetId="3" r:id="rId2"/>
    <sheet name="Housing" sheetId="4" r:id="rId3"/>
    <sheet name="Sheet1" sheetId="5" r:id="rId4"/>
  </sheets>
  <externalReferences>
    <externalReference r:id="rId5"/>
    <externalReference r:id="rId6"/>
    <externalReference r:id="rId7"/>
    <externalReference r:id="rId8"/>
    <externalReference r:id="rId9"/>
  </externalReferences>
  <definedNames>
    <definedName name="_xlnm._FilterDatabase" localSheetId="0" hidden="1">'2014-2017 Projects'!$A$5:$EA$246</definedName>
    <definedName name="_xlnm._FilterDatabase" localSheetId="1" hidden="1">Summaries!$A$4:$BB$385</definedName>
    <definedName name="Approve5">'[1]Template names'!$B$104</definedName>
    <definedName name="capex">'2014-2017 Projects'!$A$5:$DZ$305</definedName>
    <definedName name="Funding">#REF!</definedName>
    <definedName name="Head1">'[2]Template names'!$B$2</definedName>
    <definedName name="Head10">'[3]Template names'!$B$16</definedName>
    <definedName name="Head11">'[3]Template names'!$B$17</definedName>
    <definedName name="head1A">'[1]Template names'!$B$3</definedName>
    <definedName name="head1b">'[1]Template names'!$B$4</definedName>
    <definedName name="Head2">'[2]Template names'!$B$5</definedName>
    <definedName name="head27">'[2]Template names'!$B$33</definedName>
    <definedName name="head27a">'[2]Template names'!$B$34</definedName>
    <definedName name="Head3">'[2]Template names'!$B$7</definedName>
    <definedName name="Head5">'[2]Template names'!$B$9</definedName>
    <definedName name="Head5b">'[1]Template names'!$B$11</definedName>
    <definedName name="Head6">'[1]Template names'!$B$12</definedName>
    <definedName name="Head7">'[1]Template names'!$B$13</definedName>
    <definedName name="Head8">'[2]Template names'!$B$14</definedName>
    <definedName name="Head9">'[3]Template names'!$B$15</definedName>
    <definedName name="muni">'[2]Template names'!$B$93</definedName>
    <definedName name="_xlnm.Print_Area" localSheetId="2">Housing!$A$1:$BZ$122</definedName>
    <definedName name="_xlnm.Print_Area" localSheetId="1">Summaries!$A$1:$AM$21</definedName>
    <definedName name="_xlnm.Print_Titles" localSheetId="0">'2014-2017 Projects'!$5:$5</definedName>
    <definedName name="_xlnm.Print_Titles" localSheetId="2">Housing!$1:$4</definedName>
    <definedName name="TableA36">'[2]Template names'!$B$148</definedName>
    <definedName name="TableA6">'[4]Template names'!$B$116</definedName>
    <definedName name="Vdesc">'[1]Template names'!$B$32</definedName>
  </definedNames>
  <calcPr calcId="145621"/>
</workbook>
</file>

<file path=xl/calcChain.xml><?xml version="1.0" encoding="utf-8"?>
<calcChain xmlns="http://schemas.openxmlformats.org/spreadsheetml/2006/main">
  <c r="AM118" i="2" l="1"/>
  <c r="AM121" i="2"/>
  <c r="AY15" i="2" l="1"/>
  <c r="BY15" i="2" l="1"/>
  <c r="CD15" i="2" s="1"/>
  <c r="BZ15" i="2"/>
  <c r="CC15" i="2" s="1"/>
  <c r="BY8" i="2"/>
  <c r="BY9" i="2"/>
  <c r="CD9" i="2" s="1"/>
  <c r="AY9" i="2"/>
  <c r="BZ9" i="2" s="1"/>
  <c r="CB9" i="2" l="1"/>
  <c r="CB15" i="2"/>
  <c r="CE15" i="2"/>
  <c r="CE9" i="2"/>
  <c r="CC9" i="2"/>
  <c r="AZ101" i="2"/>
  <c r="BA101" i="2"/>
  <c r="BC101" i="2"/>
  <c r="BD101" i="2"/>
  <c r="BF101" i="2"/>
  <c r="BG101" i="2"/>
  <c r="BI101" i="2"/>
  <c r="BJ101" i="2"/>
  <c r="BL101" i="2"/>
  <c r="BM101" i="2"/>
  <c r="BO101" i="2"/>
  <c r="BP101" i="2"/>
  <c r="BR101" i="2"/>
  <c r="BS101" i="2"/>
  <c r="BU101" i="2"/>
  <c r="BV101" i="2"/>
  <c r="AY8" i="2"/>
  <c r="AY10" i="2"/>
  <c r="AY11" i="2"/>
  <c r="AY12" i="2"/>
  <c r="AY13" i="2"/>
  <c r="AY14" i="2"/>
  <c r="AY16" i="2"/>
  <c r="AY20" i="2"/>
  <c r="AY21" i="2"/>
  <c r="AY22" i="2"/>
  <c r="AY23" i="2"/>
  <c r="AY27" i="2"/>
  <c r="AY28" i="2"/>
  <c r="AY29" i="2"/>
  <c r="AY30" i="2"/>
  <c r="AY31" i="2"/>
  <c r="AY32" i="2"/>
  <c r="AY33" i="2"/>
  <c r="AY34" i="2"/>
  <c r="AY35" i="2"/>
  <c r="AY36" i="2"/>
  <c r="AY37" i="2"/>
  <c r="AY38" i="2"/>
  <c r="AY39" i="2"/>
  <c r="AY40" i="2"/>
  <c r="AY41" i="2"/>
  <c r="AY42" i="2"/>
  <c r="AY43" i="2"/>
  <c r="AY44" i="2"/>
  <c r="AY45" i="2"/>
  <c r="AY46" i="2"/>
  <c r="AY47" i="2"/>
  <c r="AY48" i="2"/>
  <c r="AY49" i="2"/>
  <c r="AY50" i="2"/>
  <c r="AY51" i="2"/>
  <c r="AY52" i="2"/>
  <c r="AY53" i="2"/>
  <c r="AY54" i="2"/>
  <c r="AY55" i="2"/>
  <c r="AY56" i="2"/>
  <c r="AY57" i="2"/>
  <c r="AY58" i="2"/>
  <c r="AY59" i="2"/>
  <c r="AY60" i="2"/>
  <c r="AY61" i="2"/>
  <c r="AY62" i="2"/>
  <c r="AY63" i="2"/>
  <c r="AY64" i="2"/>
  <c r="AY65" i="2"/>
  <c r="AY66" i="2"/>
  <c r="AY67" i="2"/>
  <c r="AY68" i="2"/>
  <c r="AY72" i="2"/>
  <c r="AY73" i="2"/>
  <c r="AY74" i="2"/>
  <c r="AY75" i="2"/>
  <c r="AY76" i="2"/>
  <c r="AY77" i="2"/>
  <c r="AY78" i="2"/>
  <c r="AY82" i="2"/>
  <c r="AY83" i="2"/>
  <c r="AY84" i="2"/>
  <c r="AY85" i="2"/>
  <c r="AY86" i="2"/>
  <c r="AY87" i="2"/>
  <c r="AY88" i="2"/>
  <c r="AY89" i="2"/>
  <c r="AY90" i="2"/>
  <c r="AY91" i="2"/>
  <c r="AY92" i="2"/>
  <c r="AY93" i="2"/>
  <c r="AY94" i="2"/>
  <c r="AY95" i="2"/>
  <c r="AY96" i="2"/>
  <c r="AY97" i="2"/>
  <c r="AY98" i="2"/>
  <c r="AY99" i="2"/>
  <c r="AY100" i="2"/>
  <c r="AY104" i="2"/>
  <c r="AY105" i="2"/>
  <c r="AY106" i="2"/>
  <c r="AY107" i="2"/>
  <c r="AY108" i="2"/>
  <c r="AY109" i="2"/>
  <c r="AY110" i="2"/>
  <c r="AY111" i="2"/>
  <c r="AY112" i="2"/>
  <c r="AY113" i="2"/>
  <c r="AY114" i="2"/>
  <c r="AY115" i="2"/>
  <c r="AY116" i="2"/>
  <c r="AY117" i="2"/>
  <c r="AY118" i="2"/>
  <c r="AY119" i="2"/>
  <c r="AY120" i="2"/>
  <c r="AY121" i="2"/>
  <c r="AY122" i="2"/>
  <c r="AY123" i="2"/>
  <c r="AY124" i="2"/>
  <c r="AY125" i="2"/>
  <c r="AY126" i="2"/>
  <c r="AY127" i="2"/>
  <c r="AY128" i="2"/>
  <c r="AY129" i="2"/>
  <c r="AY130" i="2"/>
  <c r="AY131" i="2"/>
  <c r="AY132" i="2"/>
  <c r="AY133" i="2"/>
  <c r="AY134" i="2"/>
  <c r="AY135" i="2"/>
  <c r="AY136" i="2"/>
  <c r="AY137" i="2"/>
  <c r="AY138" i="2"/>
  <c r="AY139" i="2"/>
  <c r="AY140" i="2"/>
  <c r="AY141" i="2"/>
  <c r="AY142" i="2"/>
  <c r="AY143" i="2"/>
  <c r="AY144" i="2"/>
  <c r="AY145" i="2"/>
  <c r="AY146" i="2"/>
  <c r="AY147" i="2"/>
  <c r="AY151" i="2"/>
  <c r="AY152" i="2"/>
  <c r="AY153" i="2"/>
  <c r="AY154" i="2"/>
  <c r="AY155" i="2"/>
  <c r="AY156" i="2"/>
  <c r="AY157" i="2"/>
  <c r="AY158" i="2"/>
  <c r="AY159" i="2"/>
  <c r="AY160" i="2"/>
  <c r="AY164" i="2"/>
  <c r="AY165" i="2"/>
  <c r="AY168" i="2"/>
  <c r="AY169" i="2"/>
  <c r="AY170" i="2"/>
  <c r="AY171" i="2"/>
  <c r="AY172" i="2"/>
  <c r="AY173" i="2"/>
  <c r="AY174" i="2"/>
  <c r="AY175" i="2"/>
  <c r="AY176" i="2"/>
  <c r="AY177" i="2"/>
  <c r="AY178" i="2"/>
  <c r="AY179" i="2"/>
  <c r="AY180" i="2"/>
  <c r="AY181" i="2"/>
  <c r="AY182" i="2"/>
  <c r="AY183" i="2"/>
  <c r="AY184" i="2"/>
  <c r="AY185" i="2"/>
  <c r="AY186" i="2"/>
  <c r="AY187" i="2"/>
  <c r="AY188" i="2"/>
  <c r="AY189" i="2"/>
  <c r="AY190" i="2"/>
  <c r="AY191" i="2"/>
  <c r="AY192" i="2"/>
  <c r="AY193" i="2"/>
  <c r="AY194" i="2"/>
  <c r="AY195" i="2"/>
  <c r="AY196" i="2"/>
  <c r="AY197" i="2"/>
  <c r="AY198" i="2"/>
  <c r="AY199" i="2"/>
  <c r="AY200" i="2"/>
  <c r="AY204" i="2"/>
  <c r="AY205" i="2"/>
  <c r="AY206" i="2"/>
  <c r="AY207" i="2"/>
  <c r="AY208" i="2"/>
  <c r="AY209" i="2"/>
  <c r="AY210" i="2"/>
  <c r="AY211" i="2"/>
  <c r="AY212" i="2"/>
  <c r="AY213" i="2"/>
  <c r="AY214" i="2"/>
  <c r="AY215" i="2"/>
  <c r="AY216" i="2"/>
  <c r="AY217" i="2"/>
  <c r="AY218" i="2"/>
  <c r="AY219" i="2"/>
  <c r="AY220" i="2"/>
  <c r="AY221" i="2"/>
  <c r="AY222" i="2"/>
  <c r="AY223" i="2"/>
  <c r="AY224" i="2"/>
  <c r="AY225" i="2"/>
  <c r="AY226" i="2"/>
  <c r="AY227" i="2"/>
  <c r="AY228" i="2"/>
  <c r="AY229" i="2"/>
  <c r="AY230" i="2"/>
  <c r="AY231" i="2"/>
  <c r="AY232" i="2"/>
  <c r="AY233" i="2"/>
  <c r="AY234" i="2"/>
  <c r="AY235" i="2"/>
  <c r="AY236" i="2"/>
  <c r="AY237" i="2"/>
  <c r="AY238" i="2"/>
  <c r="AY239" i="2"/>
  <c r="AY240" i="2"/>
  <c r="AY241" i="2"/>
  <c r="AY242" i="2"/>
  <c r="AY243" i="2"/>
  <c r="AY244" i="2"/>
  <c r="AY245" i="2"/>
  <c r="AY250" i="2"/>
  <c r="AY251" i="2"/>
  <c r="AY101" i="2" l="1"/>
  <c r="AY148" i="2"/>
  <c r="BZ175" i="2"/>
  <c r="CE175" i="2" s="1"/>
  <c r="BY175" i="2"/>
  <c r="CD175" i="2" s="1"/>
  <c r="BZ67" i="2"/>
  <c r="CE67" i="2" s="1"/>
  <c r="BY67" i="2"/>
  <c r="CD67" i="2" s="1"/>
  <c r="BZ68" i="2"/>
  <c r="CC68" i="2" s="1"/>
  <c r="BY68" i="2"/>
  <c r="CB68" i="2" s="1"/>
  <c r="BZ164" i="2"/>
  <c r="BY164" i="2"/>
  <c r="CA166" i="2"/>
  <c r="BX166" i="2"/>
  <c r="BV166" i="2"/>
  <c r="BU166" i="2"/>
  <c r="BS166" i="2"/>
  <c r="BR166" i="2"/>
  <c r="BP166" i="2"/>
  <c r="BO166" i="2"/>
  <c r="BM166" i="2"/>
  <c r="BL166" i="2"/>
  <c r="BJ166" i="2"/>
  <c r="BI166" i="2"/>
  <c r="BG166" i="2"/>
  <c r="BF166" i="2"/>
  <c r="BD166" i="2"/>
  <c r="BC166" i="2"/>
  <c r="BA166" i="2"/>
  <c r="AZ166" i="2"/>
  <c r="AX166" i="2"/>
  <c r="AW166" i="2"/>
  <c r="AU166" i="2"/>
  <c r="AT166" i="2"/>
  <c r="AR166" i="2"/>
  <c r="AQ166" i="2"/>
  <c r="AO166" i="2"/>
  <c r="AN166" i="2"/>
  <c r="BZ186" i="2"/>
  <c r="CE186" i="2" s="1"/>
  <c r="BY186" i="2"/>
  <c r="CD186" i="2" s="1"/>
  <c r="BY76" i="2"/>
  <c r="CB76" i="2" s="1"/>
  <c r="BZ76" i="2"/>
  <c r="CE76" i="2" s="1"/>
  <c r="AT291" i="2"/>
  <c r="AT292" i="2" s="1"/>
  <c r="AM292" i="2"/>
  <c r="AY166" i="2" l="1"/>
  <c r="CE68" i="2"/>
  <c r="CC67" i="2"/>
  <c r="CC175" i="2"/>
  <c r="CD68" i="2"/>
  <c r="CB67" i="2"/>
  <c r="CB175" i="2"/>
  <c r="CC76" i="2"/>
  <c r="CC186" i="2"/>
  <c r="CB164" i="2"/>
  <c r="CD164" i="2"/>
  <c r="CB186" i="2"/>
  <c r="CC164" i="2"/>
  <c r="CE164" i="2"/>
  <c r="CD76" i="2"/>
  <c r="BY97" i="2"/>
  <c r="CD97" i="2" s="1"/>
  <c r="AV97" i="2"/>
  <c r="BZ97" i="2" s="1"/>
  <c r="BY75" i="2"/>
  <c r="CD75" i="2" s="1"/>
  <c r="AV75" i="2"/>
  <c r="BZ75" i="2" s="1"/>
  <c r="CD8" i="2"/>
  <c r="AV8" i="2"/>
  <c r="BZ8" i="2" s="1"/>
  <c r="CE8" i="2" l="1"/>
  <c r="CC8" i="2"/>
  <c r="CE75" i="2"/>
  <c r="CC75" i="2"/>
  <c r="CE97" i="2"/>
  <c r="CC97" i="2"/>
  <c r="CB8" i="2"/>
  <c r="CB97" i="2"/>
  <c r="CB75" i="2"/>
  <c r="BY125" i="2"/>
  <c r="BY124" i="2"/>
  <c r="AP124" i="2" l="1"/>
  <c r="AP125" i="2"/>
  <c r="AS124" i="2"/>
  <c r="AS125" i="2"/>
  <c r="AM108" i="2"/>
  <c r="BY117" i="2"/>
  <c r="CD117" i="2" s="1"/>
  <c r="BY118" i="2"/>
  <c r="CB118" i="2" s="1"/>
  <c r="BY119" i="2"/>
  <c r="CD119" i="2" s="1"/>
  <c r="AV117" i="2"/>
  <c r="BZ117" i="2" s="1"/>
  <c r="CC117" i="2" s="1"/>
  <c r="AV118" i="2"/>
  <c r="BZ118" i="2" s="1"/>
  <c r="CC118" i="2" s="1"/>
  <c r="AV119" i="2"/>
  <c r="BZ119" i="2" s="1"/>
  <c r="CB117" i="2" l="1"/>
  <c r="CE119" i="2"/>
  <c r="CC119" i="2"/>
  <c r="CE118" i="2"/>
  <c r="CE117" i="2"/>
  <c r="CB119" i="2"/>
  <c r="CD118" i="2"/>
  <c r="AL107" i="2"/>
  <c r="AM116" i="2"/>
  <c r="AM115" i="2"/>
  <c r="AM114" i="2"/>
  <c r="AM113" i="2"/>
  <c r="AM111" i="2"/>
  <c r="AM127" i="2"/>
  <c r="AM125" i="2"/>
  <c r="AM129" i="2"/>
  <c r="AM126" i="2"/>
  <c r="AM128" i="2"/>
  <c r="AM133" i="2"/>
  <c r="BZ129" i="2"/>
  <c r="CE129" i="2" s="1"/>
  <c r="BY129" i="2"/>
  <c r="CD129" i="2" l="1"/>
  <c r="CB129" i="2"/>
  <c r="CC129" i="2"/>
  <c r="AV205" i="2"/>
  <c r="AV206" i="2"/>
  <c r="AV207" i="2"/>
  <c r="AV208" i="2"/>
  <c r="AV209" i="2"/>
  <c r="AV210" i="2"/>
  <c r="AV211" i="2"/>
  <c r="AV212" i="2"/>
  <c r="AV213" i="2"/>
  <c r="AV214" i="2"/>
  <c r="AV215" i="2"/>
  <c r="AV216" i="2"/>
  <c r="AV217" i="2"/>
  <c r="AV218" i="2"/>
  <c r="AV219" i="2"/>
  <c r="AV220" i="2"/>
  <c r="AV221" i="2"/>
  <c r="AV222" i="2"/>
  <c r="AV223" i="2"/>
  <c r="AV224" i="2"/>
  <c r="AV225" i="2"/>
  <c r="AV226" i="2"/>
  <c r="AV227" i="2"/>
  <c r="AV228" i="2"/>
  <c r="AV229" i="2"/>
  <c r="AV230" i="2"/>
  <c r="AV231" i="2"/>
  <c r="AV232" i="2"/>
  <c r="AV233" i="2"/>
  <c r="AV234" i="2"/>
  <c r="AV235" i="2"/>
  <c r="AV236" i="2"/>
  <c r="AV237" i="2"/>
  <c r="AV238" i="2"/>
  <c r="AV239" i="2"/>
  <c r="AV240" i="2"/>
  <c r="AV241" i="2"/>
  <c r="AV242" i="2"/>
  <c r="AV243" i="2"/>
  <c r="AV244" i="2"/>
  <c r="AV245" i="2"/>
  <c r="AV170" i="2"/>
  <c r="AV171" i="2"/>
  <c r="AV172" i="2"/>
  <c r="AV173" i="2"/>
  <c r="AV174" i="2"/>
  <c r="AV176" i="2"/>
  <c r="AV177" i="2"/>
  <c r="AV178" i="2"/>
  <c r="AV179" i="2"/>
  <c r="AV180" i="2"/>
  <c r="AV181" i="2"/>
  <c r="AV182" i="2"/>
  <c r="AV183" i="2"/>
  <c r="AV184" i="2"/>
  <c r="AV185" i="2"/>
  <c r="AV187" i="2"/>
  <c r="AV188" i="2"/>
  <c r="AV189" i="2"/>
  <c r="AV190" i="2"/>
  <c r="AV191" i="2"/>
  <c r="AV192" i="2"/>
  <c r="AV193" i="2"/>
  <c r="AV194" i="2"/>
  <c r="AV195" i="2"/>
  <c r="AV196" i="2"/>
  <c r="AV197" i="2"/>
  <c r="AV198" i="2"/>
  <c r="AV199" i="2"/>
  <c r="AV200" i="2"/>
  <c r="AV152" i="2"/>
  <c r="AV153" i="2"/>
  <c r="AV154" i="2"/>
  <c r="AV155" i="2"/>
  <c r="AV156" i="2"/>
  <c r="AV157" i="2"/>
  <c r="AV158" i="2"/>
  <c r="AV159" i="2"/>
  <c r="AV160" i="2"/>
  <c r="AV105" i="2"/>
  <c r="AV106" i="2"/>
  <c r="AV107" i="2"/>
  <c r="AV108" i="2"/>
  <c r="AV109" i="2"/>
  <c r="AV110" i="2"/>
  <c r="AV111" i="2"/>
  <c r="AV112" i="2"/>
  <c r="AV113" i="2"/>
  <c r="AV114" i="2"/>
  <c r="AV115" i="2"/>
  <c r="AV116" i="2"/>
  <c r="AV120" i="2"/>
  <c r="AV121" i="2"/>
  <c r="AV122" i="2"/>
  <c r="AV123" i="2"/>
  <c r="AV124" i="2"/>
  <c r="AV125" i="2"/>
  <c r="AV126" i="2"/>
  <c r="AV127" i="2"/>
  <c r="AV128" i="2"/>
  <c r="AV130" i="2"/>
  <c r="AV131" i="2"/>
  <c r="AV132" i="2"/>
  <c r="AV133" i="2"/>
  <c r="AV134" i="2"/>
  <c r="AV135" i="2"/>
  <c r="AV136" i="2"/>
  <c r="AV137" i="2"/>
  <c r="AV138" i="2"/>
  <c r="AV139" i="2"/>
  <c r="AV140" i="2"/>
  <c r="AV141" i="2"/>
  <c r="AV142" i="2"/>
  <c r="AV143" i="2"/>
  <c r="AV144" i="2"/>
  <c r="AV145" i="2"/>
  <c r="AV146" i="2"/>
  <c r="AV147" i="2"/>
  <c r="AV83" i="2"/>
  <c r="AV84" i="2"/>
  <c r="AV85" i="2"/>
  <c r="AV86" i="2"/>
  <c r="AV87" i="2"/>
  <c r="AV88" i="2"/>
  <c r="AV89" i="2"/>
  <c r="AV90" i="2"/>
  <c r="AV91" i="2"/>
  <c r="AV92" i="2"/>
  <c r="AV93" i="2"/>
  <c r="AV94" i="2"/>
  <c r="AV95" i="2"/>
  <c r="AV96" i="2"/>
  <c r="AV98" i="2"/>
  <c r="AV99" i="2"/>
  <c r="AV100" i="2"/>
  <c r="AV73" i="2"/>
  <c r="AV74" i="2"/>
  <c r="AV77" i="2"/>
  <c r="AV78" i="2"/>
  <c r="AV28" i="2"/>
  <c r="AV29" i="2"/>
  <c r="AV30" i="2"/>
  <c r="AV31" i="2"/>
  <c r="AV32" i="2"/>
  <c r="AV33" i="2"/>
  <c r="AV34" i="2"/>
  <c r="AV35" i="2"/>
  <c r="AV36" i="2"/>
  <c r="AV37" i="2"/>
  <c r="AV38" i="2"/>
  <c r="AV39" i="2"/>
  <c r="AV40" i="2"/>
  <c r="AV41" i="2"/>
  <c r="AV42" i="2"/>
  <c r="AV43" i="2"/>
  <c r="AV44" i="2"/>
  <c r="AV45" i="2"/>
  <c r="AV46" i="2"/>
  <c r="AV47" i="2"/>
  <c r="AV48" i="2"/>
  <c r="AV49" i="2"/>
  <c r="AV50" i="2"/>
  <c r="AV51" i="2"/>
  <c r="AV52" i="2"/>
  <c r="AV53" i="2"/>
  <c r="AV54" i="2"/>
  <c r="AV55" i="2"/>
  <c r="AV56" i="2"/>
  <c r="AV57" i="2"/>
  <c r="AV58" i="2"/>
  <c r="AV59" i="2"/>
  <c r="AV60" i="2"/>
  <c r="AV61" i="2"/>
  <c r="AV62" i="2"/>
  <c r="AV63" i="2"/>
  <c r="AV64" i="2"/>
  <c r="AV65" i="2"/>
  <c r="AV66" i="2"/>
  <c r="AV21" i="2"/>
  <c r="AV22" i="2"/>
  <c r="AV23" i="2"/>
  <c r="AV10" i="2"/>
  <c r="AV11" i="2"/>
  <c r="AV12" i="2"/>
  <c r="AV13" i="2"/>
  <c r="AV14" i="2"/>
  <c r="AV16" i="2"/>
  <c r="AG403" i="3" l="1"/>
  <c r="AF403" i="3"/>
  <c r="AE403" i="3"/>
  <c r="AD403" i="3"/>
  <c r="AC403" i="3"/>
  <c r="AB403" i="3"/>
  <c r="AA403" i="3"/>
  <c r="Z403" i="3"/>
  <c r="Y403" i="3"/>
  <c r="X403" i="3"/>
  <c r="W403" i="3"/>
  <c r="V403" i="3"/>
  <c r="U403" i="3"/>
  <c r="T403" i="3"/>
  <c r="S403" i="3"/>
  <c r="R403" i="3"/>
  <c r="C402" i="3" a="1"/>
  <c r="C402" i="3" s="1"/>
  <c r="B402" i="3" a="1"/>
  <c r="B402" i="3" s="1"/>
  <c r="C401" i="3" a="1"/>
  <c r="C401" i="3" s="1"/>
  <c r="B401" i="3" a="1"/>
  <c r="B401" i="3" s="1"/>
  <c r="C400" i="3" a="1"/>
  <c r="C400" i="3" s="1"/>
  <c r="B400" i="3" a="1"/>
  <c r="B400" i="3" s="1"/>
  <c r="C399" i="3" a="1"/>
  <c r="C399" i="3" s="1"/>
  <c r="B399" i="3" a="1"/>
  <c r="B399" i="3" s="1"/>
  <c r="C398" i="3" a="1"/>
  <c r="C398" i="3" s="1"/>
  <c r="B398" i="3" a="1"/>
  <c r="B398" i="3" s="1"/>
  <c r="C397" i="3" a="1"/>
  <c r="C397" i="3" s="1"/>
  <c r="B397" i="3" a="1"/>
  <c r="B397" i="3" s="1"/>
  <c r="C396" i="3" a="1"/>
  <c r="C396" i="3" s="1"/>
  <c r="B396" i="3" a="1"/>
  <c r="B396" i="3" s="1"/>
  <c r="C395" i="3" a="1"/>
  <c r="C395" i="3" s="1"/>
  <c r="B395" i="3" a="1"/>
  <c r="B395" i="3" s="1"/>
  <c r="C394" i="3" a="1"/>
  <c r="C394" i="3" s="1"/>
  <c r="B394" i="3" a="1"/>
  <c r="B394" i="3" s="1"/>
  <c r="C393" i="3" a="1"/>
  <c r="C393" i="3" s="1"/>
  <c r="B393" i="3" a="1"/>
  <c r="B393" i="3" s="1"/>
  <c r="C392" i="3" a="1"/>
  <c r="C392" i="3" s="1"/>
  <c r="B392" i="3" a="1"/>
  <c r="B392" i="3" s="1"/>
  <c r="C391" i="3" a="1"/>
  <c r="C391" i="3" s="1"/>
  <c r="B391" i="3" a="1"/>
  <c r="B391" i="3" s="1"/>
  <c r="C390" i="3" a="1"/>
  <c r="C390" i="3" s="1"/>
  <c r="C403" i="3" s="1"/>
  <c r="B390" i="3" a="1"/>
  <c r="B390" i="3" s="1"/>
  <c r="B403" i="3" s="1"/>
  <c r="AM66" i="2" l="1"/>
  <c r="AM43" i="2"/>
  <c r="AM44" i="2"/>
  <c r="AM45" i="2"/>
  <c r="AM46" i="2"/>
  <c r="AM47" i="2"/>
  <c r="AM48" i="2"/>
  <c r="AM49" i="2"/>
  <c r="AM50" i="2"/>
  <c r="AM51" i="2"/>
  <c r="AM52" i="2"/>
  <c r="AM53" i="2"/>
  <c r="AM54" i="2"/>
  <c r="AM55" i="2"/>
  <c r="AM56" i="2"/>
  <c r="AM57" i="2"/>
  <c r="AM58" i="2"/>
  <c r="AM59" i="2"/>
  <c r="AM60" i="2"/>
  <c r="AM61" i="2"/>
  <c r="AM62" i="2"/>
  <c r="AM63" i="2"/>
  <c r="AM64" i="2"/>
  <c r="AM65" i="2"/>
  <c r="AM41" i="2"/>
  <c r="AS116" i="2" l="1"/>
  <c r="AS120" i="2"/>
  <c r="R19" i="3" l="1"/>
  <c r="S19" i="3"/>
  <c r="T19" i="3"/>
  <c r="U19" i="3"/>
  <c r="V19" i="3"/>
  <c r="W19" i="3"/>
  <c r="X19" i="3"/>
  <c r="Y19" i="3"/>
  <c r="Z19" i="3"/>
  <c r="AA19" i="3"/>
  <c r="AB19" i="3"/>
  <c r="AC19" i="3"/>
  <c r="AD19" i="3"/>
  <c r="AE19" i="3"/>
  <c r="AF19" i="3"/>
  <c r="AG19" i="3"/>
  <c r="R7" i="3"/>
  <c r="S7" i="3"/>
  <c r="T7" i="3"/>
  <c r="U7" i="3"/>
  <c r="V7" i="3"/>
  <c r="W7" i="3"/>
  <c r="X7" i="3"/>
  <c r="Y7" i="3"/>
  <c r="Z7" i="3"/>
  <c r="AA7" i="3"/>
  <c r="AB7" i="3"/>
  <c r="AC7" i="3"/>
  <c r="AD7" i="3"/>
  <c r="AE7" i="3"/>
  <c r="AF7" i="3"/>
  <c r="AG7" i="3"/>
  <c r="AN376" i="3"/>
  <c r="R375" i="3"/>
  <c r="S375" i="3"/>
  <c r="T375" i="3"/>
  <c r="U375" i="3"/>
  <c r="V375" i="3"/>
  <c r="W375" i="3"/>
  <c r="X375" i="3"/>
  <c r="Y375" i="3"/>
  <c r="Z375" i="3"/>
  <c r="AA375" i="3"/>
  <c r="AB375" i="3"/>
  <c r="AC375" i="3"/>
  <c r="AD375" i="3"/>
  <c r="AE375" i="3"/>
  <c r="AF375" i="3"/>
  <c r="AG375" i="3"/>
  <c r="AL124" i="2"/>
  <c r="DP128" i="2"/>
  <c r="DN128" i="2"/>
  <c r="DL128" i="2"/>
  <c r="DJ128" i="2"/>
  <c r="DH128" i="2"/>
  <c r="DF128" i="2"/>
  <c r="DD128" i="2"/>
  <c r="DB128" i="2"/>
  <c r="CY128" i="2"/>
  <c r="CR128" i="2"/>
  <c r="CQ128" i="2"/>
  <c r="CN128" i="2"/>
  <c r="CL128" i="2"/>
  <c r="CH128" i="2"/>
  <c r="CG128" i="2"/>
  <c r="BY128" i="2"/>
  <c r="BW128" i="2"/>
  <c r="BT128" i="2"/>
  <c r="BQ128" i="2"/>
  <c r="BN128" i="2"/>
  <c r="BK128" i="2"/>
  <c r="BH128" i="2"/>
  <c r="BE128" i="2"/>
  <c r="BB128" i="2"/>
  <c r="AS128" i="2"/>
  <c r="AP128" i="2"/>
  <c r="AG128" i="2"/>
  <c r="AC128" i="2"/>
  <c r="DP127" i="2"/>
  <c r="DN127" i="2"/>
  <c r="DL127" i="2"/>
  <c r="DJ127" i="2"/>
  <c r="DH127" i="2"/>
  <c r="DF127" i="2"/>
  <c r="DD127" i="2"/>
  <c r="DB127" i="2"/>
  <c r="CY127" i="2"/>
  <c r="CR127" i="2"/>
  <c r="CQ127" i="2"/>
  <c r="CN127" i="2"/>
  <c r="CL127" i="2"/>
  <c r="CH127" i="2"/>
  <c r="CG127" i="2"/>
  <c r="BY127" i="2"/>
  <c r="BW127" i="2"/>
  <c r="BT127" i="2"/>
  <c r="BQ127" i="2"/>
  <c r="BN127" i="2"/>
  <c r="BK127" i="2"/>
  <c r="BH127" i="2"/>
  <c r="BE127" i="2"/>
  <c r="BB127" i="2"/>
  <c r="AS127" i="2"/>
  <c r="AP127" i="2"/>
  <c r="AG127" i="2"/>
  <c r="AI127" i="2" s="1"/>
  <c r="AC127" i="2"/>
  <c r="DP126" i="2"/>
  <c r="DN126" i="2"/>
  <c r="DL126" i="2"/>
  <c r="DJ126" i="2"/>
  <c r="DH126" i="2"/>
  <c r="DF126" i="2"/>
  <c r="DD126" i="2"/>
  <c r="DB126" i="2"/>
  <c r="CY126" i="2"/>
  <c r="CR126" i="2"/>
  <c r="CQ126" i="2"/>
  <c r="CN126" i="2"/>
  <c r="CL126" i="2"/>
  <c r="CH126" i="2"/>
  <c r="CG126" i="2"/>
  <c r="BY126" i="2"/>
  <c r="BW126" i="2"/>
  <c r="BT126" i="2"/>
  <c r="BQ126" i="2"/>
  <c r="BN126" i="2"/>
  <c r="BK126" i="2"/>
  <c r="BH126" i="2"/>
  <c r="BE126" i="2"/>
  <c r="BB126" i="2"/>
  <c r="AS126" i="2"/>
  <c r="AP126" i="2"/>
  <c r="AG126" i="2"/>
  <c r="AI126" i="2" s="1"/>
  <c r="AC126" i="2"/>
  <c r="DP125" i="2"/>
  <c r="DN125" i="2"/>
  <c r="DL125" i="2"/>
  <c r="DJ125" i="2"/>
  <c r="DH125" i="2"/>
  <c r="DF125" i="2"/>
  <c r="DD125" i="2"/>
  <c r="DB125" i="2"/>
  <c r="CY125" i="2"/>
  <c r="CR125" i="2"/>
  <c r="CQ125" i="2"/>
  <c r="CN125" i="2"/>
  <c r="CL125" i="2"/>
  <c r="CH125" i="2"/>
  <c r="CG125" i="2"/>
  <c r="BW125" i="2"/>
  <c r="BT125" i="2"/>
  <c r="BQ125" i="2"/>
  <c r="BN125" i="2"/>
  <c r="BK125" i="2"/>
  <c r="BH125" i="2"/>
  <c r="BE125" i="2"/>
  <c r="BB125" i="2"/>
  <c r="AG125" i="2"/>
  <c r="AC125" i="2"/>
  <c r="AS105" i="2"/>
  <c r="AS106" i="2"/>
  <c r="AS107" i="2"/>
  <c r="AS108" i="2"/>
  <c r="AS109" i="2"/>
  <c r="AS110" i="2"/>
  <c r="AS111" i="2"/>
  <c r="AS112" i="2"/>
  <c r="AS113" i="2"/>
  <c r="AS114" i="2"/>
  <c r="AS121" i="2"/>
  <c r="AS122" i="2"/>
  <c r="AS123" i="2"/>
  <c r="AS130" i="2"/>
  <c r="AS131" i="2"/>
  <c r="AS132" i="2"/>
  <c r="AS133" i="2"/>
  <c r="AS134" i="2"/>
  <c r="AS135" i="2"/>
  <c r="AS136" i="2"/>
  <c r="AS137" i="2"/>
  <c r="AS138" i="2"/>
  <c r="AS139" i="2"/>
  <c r="AS140" i="2"/>
  <c r="AS141" i="2"/>
  <c r="AS142" i="2"/>
  <c r="AS143" i="2"/>
  <c r="AS144" i="2"/>
  <c r="AS145" i="2"/>
  <c r="AS146" i="2"/>
  <c r="AS147" i="2"/>
  <c r="AS205" i="2"/>
  <c r="AS206" i="2"/>
  <c r="AS207" i="2"/>
  <c r="AS208" i="2"/>
  <c r="AS209" i="2"/>
  <c r="AS210" i="2"/>
  <c r="AS211" i="2"/>
  <c r="AS212" i="2"/>
  <c r="AS213" i="2"/>
  <c r="AS214" i="2"/>
  <c r="AS215" i="2"/>
  <c r="AS216" i="2"/>
  <c r="AS217" i="2"/>
  <c r="AS218" i="2"/>
  <c r="AS219" i="2"/>
  <c r="AS220" i="2"/>
  <c r="AS221" i="2"/>
  <c r="AS222" i="2"/>
  <c r="AS223" i="2"/>
  <c r="AS224" i="2"/>
  <c r="AS225" i="2"/>
  <c r="AS226" i="2"/>
  <c r="AS227" i="2"/>
  <c r="AS228" i="2"/>
  <c r="AS229" i="2"/>
  <c r="AS230" i="2"/>
  <c r="AS231" i="2"/>
  <c r="AS232" i="2"/>
  <c r="AS233" i="2"/>
  <c r="AS234" i="2"/>
  <c r="AS235" i="2"/>
  <c r="AS236" i="2"/>
  <c r="AS237" i="2"/>
  <c r="AS238" i="2"/>
  <c r="AS239" i="2"/>
  <c r="AS240" i="2"/>
  <c r="AS241" i="2"/>
  <c r="AS242" i="2"/>
  <c r="AS243" i="2"/>
  <c r="AS244" i="2"/>
  <c r="AS245" i="2"/>
  <c r="AS170" i="2"/>
  <c r="AS171" i="2"/>
  <c r="AS172" i="2"/>
  <c r="AS173" i="2"/>
  <c r="AS174" i="2"/>
  <c r="AS176" i="2"/>
  <c r="AS177" i="2"/>
  <c r="AS178" i="2"/>
  <c r="AS179" i="2"/>
  <c r="AS180" i="2"/>
  <c r="AS181" i="2"/>
  <c r="AS182" i="2"/>
  <c r="AS183" i="2"/>
  <c r="AS184" i="2"/>
  <c r="AS185" i="2"/>
  <c r="AS187" i="2"/>
  <c r="AS188" i="2"/>
  <c r="AS189" i="2"/>
  <c r="AS190" i="2"/>
  <c r="AS191" i="2"/>
  <c r="AS192" i="2"/>
  <c r="AS193" i="2"/>
  <c r="AS194" i="2"/>
  <c r="AS195" i="2"/>
  <c r="AS196" i="2"/>
  <c r="AS197" i="2"/>
  <c r="AS198" i="2"/>
  <c r="AS199" i="2"/>
  <c r="AS200" i="2"/>
  <c r="AS152" i="2"/>
  <c r="AS153" i="2"/>
  <c r="AS154" i="2"/>
  <c r="AS155" i="2"/>
  <c r="AS156" i="2"/>
  <c r="AS157" i="2"/>
  <c r="AS158" i="2"/>
  <c r="AS159" i="2"/>
  <c r="AS160" i="2"/>
  <c r="AS83" i="2"/>
  <c r="AS84" i="2"/>
  <c r="AS85" i="2"/>
  <c r="AS86" i="2"/>
  <c r="AS87" i="2"/>
  <c r="AS88" i="2"/>
  <c r="AS89" i="2"/>
  <c r="AS90" i="2"/>
  <c r="AS91" i="2"/>
  <c r="AS92" i="2"/>
  <c r="AS93" i="2"/>
  <c r="AS94" i="2"/>
  <c r="AS95" i="2"/>
  <c r="AS96" i="2"/>
  <c r="AS98" i="2"/>
  <c r="AS99" i="2"/>
  <c r="AS100" i="2"/>
  <c r="AS73" i="2"/>
  <c r="AS74" i="2"/>
  <c r="AS77" i="2"/>
  <c r="AS78" i="2"/>
  <c r="AS28" i="2"/>
  <c r="AS29" i="2"/>
  <c r="AS30" i="2"/>
  <c r="AS31" i="2"/>
  <c r="AS32" i="2"/>
  <c r="AS33" i="2"/>
  <c r="AS34" i="2"/>
  <c r="AS35" i="2"/>
  <c r="AS36" i="2"/>
  <c r="AS37" i="2"/>
  <c r="AS38" i="2"/>
  <c r="AS39" i="2"/>
  <c r="AS40" i="2"/>
  <c r="AS41" i="2"/>
  <c r="AS42" i="2"/>
  <c r="AS43" i="2"/>
  <c r="AS44" i="2"/>
  <c r="AS45" i="2"/>
  <c r="AS46" i="2"/>
  <c r="AS47" i="2"/>
  <c r="AS48" i="2"/>
  <c r="AS49" i="2"/>
  <c r="AS50" i="2"/>
  <c r="AS51" i="2"/>
  <c r="AS52" i="2"/>
  <c r="AS53" i="2"/>
  <c r="AS54" i="2"/>
  <c r="AS55" i="2"/>
  <c r="AS56" i="2"/>
  <c r="AS57" i="2"/>
  <c r="AS58" i="2"/>
  <c r="AS59" i="2"/>
  <c r="AS60" i="2"/>
  <c r="AS61" i="2"/>
  <c r="AS62" i="2"/>
  <c r="AS63" i="2"/>
  <c r="AS64" i="2"/>
  <c r="AS65" i="2"/>
  <c r="AS66" i="2"/>
  <c r="AS21" i="2"/>
  <c r="AS22" i="2"/>
  <c r="AS23" i="2"/>
  <c r="AS10" i="2"/>
  <c r="AS11" i="2"/>
  <c r="AS12" i="2"/>
  <c r="AS13" i="2"/>
  <c r="AS14" i="2"/>
  <c r="AS16" i="2"/>
  <c r="BZ125" i="2" l="1"/>
  <c r="CE125" i="2" s="1"/>
  <c r="DU128" i="2"/>
  <c r="DS125" i="2"/>
  <c r="DU127" i="2"/>
  <c r="CB125" i="2"/>
  <c r="CS125" i="2"/>
  <c r="CS126" i="2"/>
  <c r="DS128" i="2"/>
  <c r="DU125" i="2"/>
  <c r="DS126" i="2"/>
  <c r="CS128" i="2"/>
  <c r="DU126" i="2"/>
  <c r="CS127" i="2"/>
  <c r="BZ128" i="2"/>
  <c r="CC128" i="2" s="1"/>
  <c r="CD128" i="2"/>
  <c r="BZ126" i="2"/>
  <c r="CC126" i="2" s="1"/>
  <c r="BZ127" i="2"/>
  <c r="CC127" i="2" s="1"/>
  <c r="CD125" i="2"/>
  <c r="CB127" i="2"/>
  <c r="CD127" i="2"/>
  <c r="CB126" i="2"/>
  <c r="CD126" i="2"/>
  <c r="CB128" i="2"/>
  <c r="DS127" i="2"/>
  <c r="AI128" i="2"/>
  <c r="AI125" i="2"/>
  <c r="AQ115" i="2"/>
  <c r="AS115" i="2" s="1"/>
  <c r="BY108" i="2"/>
  <c r="BY109" i="2"/>
  <c r="BY110" i="2"/>
  <c r="BY111" i="2"/>
  <c r="BY112" i="2"/>
  <c r="BY113" i="2"/>
  <c r="BY114" i="2"/>
  <c r="BY115" i="2"/>
  <c r="BY116" i="2"/>
  <c r="AP108" i="2"/>
  <c r="BZ108" i="2" s="1"/>
  <c r="AP109" i="2"/>
  <c r="AP110" i="2"/>
  <c r="BZ110" i="2" s="1"/>
  <c r="AP111" i="2"/>
  <c r="AP112" i="2"/>
  <c r="AP113" i="2"/>
  <c r="AP114" i="2"/>
  <c r="BZ114" i="2" s="1"/>
  <c r="AP115" i="2"/>
  <c r="AP116" i="2"/>
  <c r="AM109" i="2"/>
  <c r="AM110" i="2"/>
  <c r="AM112" i="2"/>
  <c r="CD113" i="2" l="1"/>
  <c r="CC125" i="2"/>
  <c r="CE126" i="2"/>
  <c r="CB111" i="2"/>
  <c r="CE128" i="2"/>
  <c r="CE127" i="2"/>
  <c r="CB109" i="2"/>
  <c r="CB108" i="2"/>
  <c r="BZ113" i="2"/>
  <c r="CE113" i="2" s="1"/>
  <c r="BZ111" i="2"/>
  <c r="CE111" i="2" s="1"/>
  <c r="BZ109" i="2"/>
  <c r="CE109" i="2" s="1"/>
  <c r="CD111" i="2"/>
  <c r="CD109" i="2"/>
  <c r="CE114" i="2"/>
  <c r="CE108" i="2"/>
  <c r="CD108" i="2"/>
  <c r="CE110" i="2"/>
  <c r="BZ116" i="2"/>
  <c r="CC116" i="2" s="1"/>
  <c r="BZ112" i="2"/>
  <c r="CC112" i="2" s="1"/>
  <c r="CC108" i="2"/>
  <c r="CB116" i="2"/>
  <c r="BZ115" i="2"/>
  <c r="CC115" i="2" s="1"/>
  <c r="CD116" i="2"/>
  <c r="CB115" i="2"/>
  <c r="CD115" i="2"/>
  <c r="CD114" i="2"/>
  <c r="CB114" i="2"/>
  <c r="CC114" i="2"/>
  <c r="CB113" i="2"/>
  <c r="CB112" i="2"/>
  <c r="CD112" i="2"/>
  <c r="CB110" i="2"/>
  <c r="CC110" i="2"/>
  <c r="CD110" i="2"/>
  <c r="BY77" i="2"/>
  <c r="CB77" i="2" s="1"/>
  <c r="AP77" i="2"/>
  <c r="CC113" i="2" l="1"/>
  <c r="CE115" i="2"/>
  <c r="CC111" i="2"/>
  <c r="CE116" i="2"/>
  <c r="CC109" i="2"/>
  <c r="CE112" i="2"/>
  <c r="BZ77" i="2"/>
  <c r="CC77" i="2" s="1"/>
  <c r="CD77" i="2"/>
  <c r="BZ11" i="2"/>
  <c r="BZ12" i="2"/>
  <c r="BZ14" i="2"/>
  <c r="BZ23" i="2"/>
  <c r="BZ96" i="2"/>
  <c r="BZ200" i="2"/>
  <c r="BY10" i="2"/>
  <c r="BY11" i="2"/>
  <c r="BY12" i="2"/>
  <c r="BY13" i="2"/>
  <c r="BY14" i="2"/>
  <c r="BY16" i="2"/>
  <c r="BY20" i="2"/>
  <c r="BY21" i="2"/>
  <c r="BY22" i="2"/>
  <c r="BY23" i="2"/>
  <c r="BY27" i="2"/>
  <c r="BY28" i="2"/>
  <c r="BY29" i="2"/>
  <c r="BY30" i="2"/>
  <c r="BY31" i="2"/>
  <c r="BY32" i="2"/>
  <c r="BY33" i="2"/>
  <c r="BY34" i="2"/>
  <c r="BY35" i="2"/>
  <c r="BY36" i="2"/>
  <c r="BY37" i="2"/>
  <c r="BY38" i="2"/>
  <c r="BY39" i="2"/>
  <c r="BY40" i="2"/>
  <c r="BY41" i="2"/>
  <c r="BY42" i="2"/>
  <c r="BY43" i="2"/>
  <c r="BY44" i="2"/>
  <c r="BY45" i="2"/>
  <c r="BY46" i="2"/>
  <c r="BY47" i="2"/>
  <c r="BY48" i="2"/>
  <c r="BY49" i="2"/>
  <c r="BY50" i="2"/>
  <c r="BY51" i="2"/>
  <c r="BY52" i="2"/>
  <c r="BY53" i="2"/>
  <c r="BY54" i="2"/>
  <c r="BY55" i="2"/>
  <c r="BY56" i="2"/>
  <c r="BY57" i="2"/>
  <c r="BY58" i="2"/>
  <c r="BY59" i="2"/>
  <c r="BY60" i="2"/>
  <c r="BY61" i="2"/>
  <c r="BY62" i="2"/>
  <c r="BY63" i="2"/>
  <c r="BY64" i="2"/>
  <c r="BY65" i="2"/>
  <c r="BY66" i="2"/>
  <c r="BY72" i="2"/>
  <c r="BY73" i="2"/>
  <c r="BY74" i="2"/>
  <c r="BY78" i="2"/>
  <c r="BY82" i="2"/>
  <c r="BY83" i="2"/>
  <c r="BY84" i="2"/>
  <c r="BY85" i="2"/>
  <c r="BY86" i="2"/>
  <c r="BY87" i="2"/>
  <c r="BY88" i="2"/>
  <c r="BY89" i="2"/>
  <c r="BY90" i="2"/>
  <c r="BY91" i="2"/>
  <c r="BY92" i="2"/>
  <c r="BY93" i="2"/>
  <c r="BY94" i="2"/>
  <c r="BY95" i="2"/>
  <c r="BY96" i="2"/>
  <c r="BY98" i="2"/>
  <c r="BY99" i="2"/>
  <c r="BY100" i="2"/>
  <c r="BY104" i="2"/>
  <c r="BY105" i="2"/>
  <c r="BY106" i="2"/>
  <c r="BY120" i="2"/>
  <c r="BY121" i="2"/>
  <c r="BY122" i="2"/>
  <c r="BY123" i="2"/>
  <c r="BY130" i="2"/>
  <c r="BY131" i="2"/>
  <c r="BY132" i="2"/>
  <c r="BY133" i="2"/>
  <c r="BY134" i="2"/>
  <c r="BY135" i="2"/>
  <c r="BY136" i="2"/>
  <c r="BY137" i="2"/>
  <c r="BY138" i="2"/>
  <c r="BY139" i="2"/>
  <c r="BY140" i="2"/>
  <c r="BY141" i="2"/>
  <c r="BY142" i="2"/>
  <c r="BY143" i="2"/>
  <c r="BY144" i="2"/>
  <c r="BY145" i="2"/>
  <c r="BY146" i="2"/>
  <c r="BY147" i="2"/>
  <c r="BY151" i="2"/>
  <c r="BY152" i="2"/>
  <c r="BY153" i="2"/>
  <c r="BY154" i="2"/>
  <c r="BY155" i="2"/>
  <c r="BY156" i="2"/>
  <c r="BY157" i="2"/>
  <c r="BY158" i="2"/>
  <c r="BY159" i="2"/>
  <c r="BY160" i="2"/>
  <c r="BY165" i="2"/>
  <c r="BY166" i="2" s="1"/>
  <c r="BY169" i="2"/>
  <c r="BY170" i="2"/>
  <c r="BY171" i="2"/>
  <c r="BY172" i="2"/>
  <c r="BY173" i="2"/>
  <c r="BY174" i="2"/>
  <c r="BY176" i="2"/>
  <c r="BY177" i="2"/>
  <c r="BY178" i="2"/>
  <c r="BY179" i="2"/>
  <c r="BY180" i="2"/>
  <c r="BY181" i="2"/>
  <c r="BY182" i="2"/>
  <c r="BY183" i="2"/>
  <c r="BY184" i="2"/>
  <c r="BY185" i="2"/>
  <c r="BY187" i="2"/>
  <c r="BY188" i="2"/>
  <c r="BY189" i="2"/>
  <c r="BY190" i="2"/>
  <c r="BY191" i="2"/>
  <c r="BY192" i="2"/>
  <c r="BY193" i="2"/>
  <c r="BY194" i="2"/>
  <c r="BY195" i="2"/>
  <c r="BY196" i="2"/>
  <c r="BY197" i="2"/>
  <c r="BY198" i="2"/>
  <c r="BY199" i="2"/>
  <c r="BY200" i="2"/>
  <c r="BY204" i="2"/>
  <c r="BY205" i="2"/>
  <c r="BY206" i="2"/>
  <c r="BY207" i="2"/>
  <c r="BY208" i="2"/>
  <c r="BY209" i="2"/>
  <c r="BY210" i="2"/>
  <c r="BY211" i="2"/>
  <c r="BY212" i="2"/>
  <c r="BY213" i="2"/>
  <c r="BY214" i="2"/>
  <c r="BY215" i="2"/>
  <c r="BY216" i="2"/>
  <c r="BY217" i="2"/>
  <c r="BY218" i="2"/>
  <c r="BY219" i="2"/>
  <c r="BY220" i="2"/>
  <c r="BY221" i="2"/>
  <c r="BY222" i="2"/>
  <c r="BY223" i="2"/>
  <c r="BY224" i="2"/>
  <c r="BY225" i="2"/>
  <c r="BY226" i="2"/>
  <c r="BY227" i="2"/>
  <c r="BY228" i="2"/>
  <c r="BY229" i="2"/>
  <c r="BY230" i="2"/>
  <c r="BY231" i="2"/>
  <c r="BY232" i="2"/>
  <c r="BY233" i="2"/>
  <c r="BY234" i="2"/>
  <c r="BY235" i="2"/>
  <c r="BY236" i="2"/>
  <c r="BY237" i="2"/>
  <c r="BY238" i="2"/>
  <c r="BY239" i="2"/>
  <c r="BY240" i="2"/>
  <c r="BY241" i="2"/>
  <c r="BY242" i="2"/>
  <c r="BY243" i="2"/>
  <c r="BY244" i="2"/>
  <c r="BY245" i="2"/>
  <c r="BY250" i="2"/>
  <c r="AP179" i="2"/>
  <c r="AM179" i="2"/>
  <c r="CE77" i="2" l="1"/>
  <c r="BZ179" i="2"/>
  <c r="CC179" i="2" s="1"/>
  <c r="CB179" i="2"/>
  <c r="CD179" i="2"/>
  <c r="CE179" i="2" l="1"/>
  <c r="AP83" i="2"/>
  <c r="AP84" i="2"/>
  <c r="AM84" i="2"/>
  <c r="AP215" i="2"/>
  <c r="AP216" i="2"/>
  <c r="AM216" i="2"/>
  <c r="AM215" i="2"/>
  <c r="AP177" i="2"/>
  <c r="AP178" i="2"/>
  <c r="AM177" i="2"/>
  <c r="AM178" i="2"/>
  <c r="AP244" i="2"/>
  <c r="AM244" i="2"/>
  <c r="AP235" i="2"/>
  <c r="AM235" i="2"/>
  <c r="AP236" i="2"/>
  <c r="AP237" i="2"/>
  <c r="AP238" i="2"/>
  <c r="AP239" i="2"/>
  <c r="AP240" i="2"/>
  <c r="AM236" i="2"/>
  <c r="AM237" i="2"/>
  <c r="AM238" i="2"/>
  <c r="AM239" i="2"/>
  <c r="AM240" i="2"/>
  <c r="AP233" i="2"/>
  <c r="AP234" i="2"/>
  <c r="AM234" i="2"/>
  <c r="AP226" i="2"/>
  <c r="AM226" i="2"/>
  <c r="AP225" i="2"/>
  <c r="AM225" i="2"/>
  <c r="BZ216" i="2" l="1"/>
  <c r="CE216" i="2" s="1"/>
  <c r="BZ238" i="2"/>
  <c r="CE238" i="2" s="1"/>
  <c r="BZ244" i="2"/>
  <c r="CC244" i="2" s="1"/>
  <c r="BZ226" i="2"/>
  <c r="CE226" i="2" s="1"/>
  <c r="BZ233" i="2"/>
  <c r="BZ240" i="2"/>
  <c r="CE240" i="2" s="1"/>
  <c r="BZ236" i="2"/>
  <c r="CE236" i="2" s="1"/>
  <c r="CB239" i="2"/>
  <c r="CD239" i="2"/>
  <c r="CB234" i="2"/>
  <c r="CD234" i="2"/>
  <c r="CB237" i="2"/>
  <c r="CD237" i="2"/>
  <c r="CB235" i="2"/>
  <c r="CD235" i="2"/>
  <c r="BZ178" i="2"/>
  <c r="CE178" i="2" s="1"/>
  <c r="CB215" i="2"/>
  <c r="CD215" i="2"/>
  <c r="BZ84" i="2"/>
  <c r="CE84" i="2" s="1"/>
  <c r="CB226" i="2"/>
  <c r="CD226" i="2"/>
  <c r="BZ234" i="2"/>
  <c r="CE234" i="2" s="1"/>
  <c r="CB240" i="2"/>
  <c r="CD240" i="2"/>
  <c r="CB236" i="2"/>
  <c r="CD236" i="2"/>
  <c r="BZ237" i="2"/>
  <c r="CE237" i="2" s="1"/>
  <c r="BZ235" i="2"/>
  <c r="CE235" i="2" s="1"/>
  <c r="BZ177" i="2"/>
  <c r="CE177" i="2" s="1"/>
  <c r="CB216" i="2"/>
  <c r="CD216" i="2"/>
  <c r="BZ83" i="2"/>
  <c r="CB225" i="2"/>
  <c r="CD225" i="2"/>
  <c r="CB178" i="2"/>
  <c r="CD178" i="2"/>
  <c r="BZ225" i="2"/>
  <c r="CE225" i="2" s="1"/>
  <c r="CB238" i="2"/>
  <c r="CD238" i="2"/>
  <c r="BZ239" i="2"/>
  <c r="CE239" i="2" s="1"/>
  <c r="CB244" i="2"/>
  <c r="CD244" i="2"/>
  <c r="CB177" i="2"/>
  <c r="CD177" i="2"/>
  <c r="BZ215" i="2"/>
  <c r="CE215" i="2" s="1"/>
  <c r="CB84" i="2"/>
  <c r="CD84" i="2"/>
  <c r="AP217" i="2"/>
  <c r="BZ217" i="2" s="1"/>
  <c r="AM217" i="2"/>
  <c r="AP214" i="2"/>
  <c r="AP218" i="2"/>
  <c r="AM214" i="2"/>
  <c r="AP213" i="2"/>
  <c r="AM213" i="2"/>
  <c r="AP206" i="2"/>
  <c r="AP208" i="2"/>
  <c r="AP209" i="2"/>
  <c r="AP210" i="2"/>
  <c r="AP211" i="2"/>
  <c r="AP212" i="2"/>
  <c r="AM208" i="2"/>
  <c r="AP185" i="2"/>
  <c r="AP183" i="2"/>
  <c r="AM183" i="2"/>
  <c r="AP198" i="2"/>
  <c r="AM198" i="2"/>
  <c r="AP176" i="2"/>
  <c r="AM176" i="2"/>
  <c r="AP171" i="2"/>
  <c r="AM171" i="2"/>
  <c r="AP180" i="2"/>
  <c r="AM180" i="2"/>
  <c r="AP157" i="2"/>
  <c r="AM157" i="2"/>
  <c r="AP154" i="2"/>
  <c r="AM154" i="2"/>
  <c r="AP152" i="2"/>
  <c r="AM152" i="2"/>
  <c r="AP137" i="2"/>
  <c r="AM137" i="2"/>
  <c r="AP136" i="2"/>
  <c r="AP138" i="2"/>
  <c r="AP139" i="2"/>
  <c r="AM136" i="2"/>
  <c r="AP105" i="2"/>
  <c r="AM105" i="2"/>
  <c r="AP106" i="2"/>
  <c r="AM106" i="2"/>
  <c r="AP91" i="2"/>
  <c r="AM91" i="2"/>
  <c r="AP90" i="2"/>
  <c r="AM90" i="2"/>
  <c r="AP89" i="2"/>
  <c r="AM89" i="2"/>
  <c r="AP73" i="2"/>
  <c r="AM73" i="2"/>
  <c r="AP61" i="2"/>
  <c r="AP53" i="2"/>
  <c r="AP65" i="2"/>
  <c r="AP44" i="2"/>
  <c r="AP50" i="2"/>
  <c r="AP48" i="2"/>
  <c r="AP35" i="2"/>
  <c r="AM35" i="2"/>
  <c r="AP33" i="2"/>
  <c r="AM33" i="2"/>
  <c r="AP46" i="2"/>
  <c r="AP30" i="2"/>
  <c r="BZ30" i="2" s="1"/>
  <c r="AM30" i="2"/>
  <c r="AP29" i="2"/>
  <c r="AM29" i="2"/>
  <c r="AM14" i="2"/>
  <c r="CC216" i="2" l="1"/>
  <c r="CC240" i="2"/>
  <c r="CC236" i="2"/>
  <c r="CE244" i="2"/>
  <c r="CC226" i="2"/>
  <c r="CC238" i="2"/>
  <c r="BZ46" i="2"/>
  <c r="CC46" i="2" s="1"/>
  <c r="BZ50" i="2"/>
  <c r="CC50" i="2" s="1"/>
  <c r="BZ61" i="2"/>
  <c r="CC61" i="2" s="1"/>
  <c r="BZ91" i="2"/>
  <c r="CE91" i="2" s="1"/>
  <c r="BZ137" i="2"/>
  <c r="CE137" i="2" s="1"/>
  <c r="BZ180" i="2"/>
  <c r="CE180" i="2" s="1"/>
  <c r="BZ183" i="2"/>
  <c r="CC183" i="2" s="1"/>
  <c r="BZ209" i="2"/>
  <c r="BZ208" i="2"/>
  <c r="CE208" i="2" s="1"/>
  <c r="CE30" i="2"/>
  <c r="BZ35" i="2"/>
  <c r="CE35" i="2" s="1"/>
  <c r="BZ65" i="2"/>
  <c r="CE65" i="2" s="1"/>
  <c r="BZ89" i="2"/>
  <c r="CE89" i="2" s="1"/>
  <c r="BZ105" i="2"/>
  <c r="CE105" i="2" s="1"/>
  <c r="BZ154" i="2"/>
  <c r="CE154" i="2" s="1"/>
  <c r="BZ176" i="2"/>
  <c r="CE176" i="2" s="1"/>
  <c r="BZ206" i="2"/>
  <c r="CE217" i="2"/>
  <c r="CC177" i="2"/>
  <c r="CC237" i="2"/>
  <c r="CB14" i="2"/>
  <c r="CC14" i="2"/>
  <c r="CE14" i="2"/>
  <c r="CD14" i="2"/>
  <c r="CB48" i="2"/>
  <c r="CD48" i="2"/>
  <c r="CB53" i="2"/>
  <c r="CD53" i="2"/>
  <c r="CB90" i="2"/>
  <c r="CD90" i="2"/>
  <c r="CB136" i="2"/>
  <c r="CD136" i="2"/>
  <c r="CB157" i="2"/>
  <c r="CD157" i="2"/>
  <c r="CB198" i="2"/>
  <c r="CD198" i="2"/>
  <c r="CC208" i="2"/>
  <c r="CB208" i="2"/>
  <c r="CD208" i="2"/>
  <c r="CB29" i="2"/>
  <c r="CD29" i="2"/>
  <c r="CB33" i="2"/>
  <c r="CD33" i="2"/>
  <c r="CB44" i="2"/>
  <c r="CD44" i="2"/>
  <c r="CB73" i="2"/>
  <c r="CD73" i="2"/>
  <c r="CB106" i="2"/>
  <c r="CD106" i="2"/>
  <c r="CB152" i="2"/>
  <c r="CD152" i="2"/>
  <c r="CB171" i="2"/>
  <c r="CD171" i="2"/>
  <c r="CB213" i="2"/>
  <c r="CD213" i="2"/>
  <c r="CC225" i="2"/>
  <c r="BZ29" i="2"/>
  <c r="CE29" i="2" s="1"/>
  <c r="CB46" i="2"/>
  <c r="CD46" i="2"/>
  <c r="BZ33" i="2"/>
  <c r="CE33" i="2" s="1"/>
  <c r="CB50" i="2"/>
  <c r="CD50" i="2"/>
  <c r="BZ44" i="2"/>
  <c r="CE44" i="2" s="1"/>
  <c r="CB61" i="2"/>
  <c r="CD61" i="2"/>
  <c r="BZ73" i="2"/>
  <c r="CE73" i="2" s="1"/>
  <c r="CB91" i="2"/>
  <c r="CD91" i="2"/>
  <c r="BZ106" i="2"/>
  <c r="CE106" i="2" s="1"/>
  <c r="BZ136" i="2"/>
  <c r="CE136" i="2" s="1"/>
  <c r="CB137" i="2"/>
  <c r="CD137" i="2"/>
  <c r="BZ152" i="2"/>
  <c r="CE152" i="2" s="1"/>
  <c r="CB180" i="2"/>
  <c r="CD180" i="2"/>
  <c r="BZ171" i="2"/>
  <c r="CE171" i="2" s="1"/>
  <c r="CB183" i="2"/>
  <c r="CD183" i="2"/>
  <c r="BZ185" i="2"/>
  <c r="BZ210" i="2"/>
  <c r="BZ213" i="2"/>
  <c r="CE213" i="2" s="1"/>
  <c r="BZ214" i="2"/>
  <c r="CE214" i="2" s="1"/>
  <c r="CC84" i="2"/>
  <c r="CC178" i="2"/>
  <c r="CC215" i="2"/>
  <c r="CC235" i="2"/>
  <c r="CC239" i="2"/>
  <c r="CC30" i="2"/>
  <c r="CB30" i="2"/>
  <c r="CD30" i="2"/>
  <c r="CB35" i="2"/>
  <c r="CD35" i="2"/>
  <c r="BZ48" i="2"/>
  <c r="CE48" i="2" s="1"/>
  <c r="CB65" i="2"/>
  <c r="CD65" i="2"/>
  <c r="BZ53" i="2"/>
  <c r="CE53" i="2" s="1"/>
  <c r="CB89" i="2"/>
  <c r="CD89" i="2"/>
  <c r="BZ90" i="2"/>
  <c r="CE90" i="2" s="1"/>
  <c r="CB105" i="2"/>
  <c r="CD105" i="2"/>
  <c r="BZ139" i="2"/>
  <c r="CB154" i="2"/>
  <c r="CD154" i="2"/>
  <c r="BZ157" i="2"/>
  <c r="CE157" i="2" s="1"/>
  <c r="CB176" i="2"/>
  <c r="CD176" i="2"/>
  <c r="BZ198" i="2"/>
  <c r="CE198" i="2" s="1"/>
  <c r="CB214" i="2"/>
  <c r="CD214" i="2"/>
  <c r="CC217" i="2"/>
  <c r="CB217" i="2"/>
  <c r="CD217" i="2"/>
  <c r="CC234" i="2"/>
  <c r="AM16" i="2"/>
  <c r="BB16" i="2"/>
  <c r="BE16" i="2"/>
  <c r="BH16" i="2"/>
  <c r="BK16" i="2"/>
  <c r="BN16" i="2"/>
  <c r="BQ16" i="2"/>
  <c r="BT16" i="2"/>
  <c r="BW16" i="2"/>
  <c r="AM12" i="2"/>
  <c r="AM11" i="2"/>
  <c r="BW10" i="2"/>
  <c r="BW13" i="2"/>
  <c r="BT10" i="2"/>
  <c r="BT13" i="2"/>
  <c r="BQ10" i="2"/>
  <c r="BQ13" i="2"/>
  <c r="BN10" i="2"/>
  <c r="BN13" i="2"/>
  <c r="BK10" i="2"/>
  <c r="BK13" i="2"/>
  <c r="BH10" i="2"/>
  <c r="BH13" i="2"/>
  <c r="BE10" i="2"/>
  <c r="BE13" i="2"/>
  <c r="BB10" i="2"/>
  <c r="BB13" i="2"/>
  <c r="AP10" i="2"/>
  <c r="AM10" i="2"/>
  <c r="CB10" i="2" l="1"/>
  <c r="CD10" i="2"/>
  <c r="CE46" i="2"/>
  <c r="CC214" i="2"/>
  <c r="CC89" i="2"/>
  <c r="CE50" i="2"/>
  <c r="CE61" i="2"/>
  <c r="CC180" i="2"/>
  <c r="CE183" i="2"/>
  <c r="CC176" i="2"/>
  <c r="CC65" i="2"/>
  <c r="CC35" i="2"/>
  <c r="CC137" i="2"/>
  <c r="CC91" i="2"/>
  <c r="CC105" i="2"/>
  <c r="CC154" i="2"/>
  <c r="BZ10" i="2"/>
  <c r="CE10" i="2" s="1"/>
  <c r="CC33" i="2"/>
  <c r="CC198" i="2"/>
  <c r="CC136" i="2"/>
  <c r="CC53" i="2"/>
  <c r="CC11" i="2"/>
  <c r="CB11" i="2"/>
  <c r="CE11" i="2"/>
  <c r="CD11" i="2"/>
  <c r="CB16" i="2"/>
  <c r="CD16" i="2"/>
  <c r="CC73" i="2"/>
  <c r="CC29" i="2"/>
  <c r="CC12" i="2"/>
  <c r="CB12" i="2"/>
  <c r="CE12" i="2"/>
  <c r="CD12" i="2"/>
  <c r="CC213" i="2"/>
  <c r="CC171" i="2"/>
  <c r="CC152" i="2"/>
  <c r="CC106" i="2"/>
  <c r="CC90" i="2"/>
  <c r="BZ16" i="2"/>
  <c r="CE16" i="2" s="1"/>
  <c r="CC44" i="2"/>
  <c r="CC157" i="2"/>
  <c r="CC48" i="2"/>
  <c r="AL246" i="2"/>
  <c r="AL201" i="2"/>
  <c r="AL166" i="2"/>
  <c r="AL161" i="2"/>
  <c r="AL148" i="2"/>
  <c r="AL101" i="2"/>
  <c r="AL79" i="2"/>
  <c r="AL69" i="2"/>
  <c r="AL24" i="2"/>
  <c r="AL17" i="2"/>
  <c r="AM13" i="2"/>
  <c r="AM20" i="2"/>
  <c r="AM21" i="2"/>
  <c r="AM22" i="2"/>
  <c r="AM23" i="2"/>
  <c r="AM27" i="2"/>
  <c r="AM28" i="2"/>
  <c r="AM31" i="2"/>
  <c r="AM32" i="2"/>
  <c r="AM34" i="2"/>
  <c r="AM37" i="2"/>
  <c r="AM38" i="2"/>
  <c r="AM39" i="2"/>
  <c r="AM40" i="2"/>
  <c r="AM42" i="2"/>
  <c r="AM72" i="2"/>
  <c r="AM74" i="2"/>
  <c r="AM78" i="2"/>
  <c r="AM82" i="2"/>
  <c r="AM83" i="2"/>
  <c r="AM85" i="2"/>
  <c r="AM87" i="2"/>
  <c r="AM94" i="2"/>
  <c r="AM95" i="2"/>
  <c r="AM96" i="2"/>
  <c r="AM98" i="2"/>
  <c r="AM99" i="2"/>
  <c r="AM100" i="2"/>
  <c r="AM104" i="2"/>
  <c r="AM120" i="2"/>
  <c r="AM122" i="2"/>
  <c r="AM123" i="2"/>
  <c r="AM134" i="2"/>
  <c r="AM138" i="2"/>
  <c r="AM139" i="2"/>
  <c r="CE139" i="2" s="1"/>
  <c r="AM140" i="2"/>
  <c r="AM141" i="2"/>
  <c r="AM142" i="2"/>
  <c r="AM143" i="2"/>
  <c r="AM144" i="2"/>
  <c r="AM145" i="2"/>
  <c r="AM147" i="2"/>
  <c r="AM151" i="2"/>
  <c r="AM155" i="2"/>
  <c r="AM160" i="2"/>
  <c r="AM170" i="2"/>
  <c r="AM172" i="2"/>
  <c r="AM173" i="2"/>
  <c r="AM174" i="2"/>
  <c r="AM181" i="2"/>
  <c r="AM182" i="2"/>
  <c r="AM184" i="2"/>
  <c r="AM185" i="2"/>
  <c r="AM188" i="2"/>
  <c r="AM189" i="2"/>
  <c r="AM190" i="2"/>
  <c r="AM191" i="2"/>
  <c r="AM192" i="2"/>
  <c r="AM193" i="2"/>
  <c r="AM194" i="2"/>
  <c r="AM195" i="2"/>
  <c r="AM196" i="2"/>
  <c r="AM197" i="2"/>
  <c r="AM199" i="2"/>
  <c r="AM200" i="2"/>
  <c r="AM206" i="2"/>
  <c r="AM209" i="2"/>
  <c r="AM210" i="2"/>
  <c r="AM211" i="2"/>
  <c r="AM212" i="2"/>
  <c r="AM218" i="2"/>
  <c r="AM219" i="2"/>
  <c r="AM221" i="2"/>
  <c r="AM222" i="2"/>
  <c r="AM223" i="2"/>
  <c r="AM224" i="2"/>
  <c r="AM227" i="2"/>
  <c r="AM228" i="2"/>
  <c r="AM229" i="2"/>
  <c r="AM230" i="2"/>
  <c r="AM231" i="2"/>
  <c r="AM232" i="2"/>
  <c r="AM233" i="2"/>
  <c r="AM242" i="2"/>
  <c r="AM7" i="2"/>
  <c r="AN246" i="2"/>
  <c r="AO246" i="2"/>
  <c r="AQ246" i="2"/>
  <c r="AR246" i="2"/>
  <c r="AT246" i="2"/>
  <c r="AU246" i="2"/>
  <c r="AW246" i="2"/>
  <c r="AX246" i="2"/>
  <c r="AZ246" i="2"/>
  <c r="BA246" i="2"/>
  <c r="BC246" i="2"/>
  <c r="BD246" i="2"/>
  <c r="BF246" i="2"/>
  <c r="BG246" i="2"/>
  <c r="BI246" i="2"/>
  <c r="BJ246" i="2"/>
  <c r="BL246" i="2"/>
  <c r="BM246" i="2"/>
  <c r="BO246" i="2"/>
  <c r="BP246" i="2"/>
  <c r="BR246" i="2"/>
  <c r="BS246" i="2"/>
  <c r="BU246" i="2"/>
  <c r="BV246" i="2"/>
  <c r="BX246" i="2"/>
  <c r="CA246" i="2"/>
  <c r="AN201" i="2"/>
  <c r="AO201" i="2"/>
  <c r="AQ201" i="2"/>
  <c r="AR201" i="2"/>
  <c r="AT201" i="2"/>
  <c r="AU201" i="2"/>
  <c r="AW201" i="2"/>
  <c r="AX201" i="2"/>
  <c r="AZ201" i="2"/>
  <c r="BA201" i="2"/>
  <c r="BC201" i="2"/>
  <c r="BD201" i="2"/>
  <c r="BF201" i="2"/>
  <c r="BG201" i="2"/>
  <c r="BI201" i="2"/>
  <c r="BJ201" i="2"/>
  <c r="BL201" i="2"/>
  <c r="BM201" i="2"/>
  <c r="BO201" i="2"/>
  <c r="BP201" i="2"/>
  <c r="BR201" i="2"/>
  <c r="BS201" i="2"/>
  <c r="BU201" i="2"/>
  <c r="BV201" i="2"/>
  <c r="BX201" i="2"/>
  <c r="CA201" i="2"/>
  <c r="AN161" i="2"/>
  <c r="AO161" i="2"/>
  <c r="AQ161" i="2"/>
  <c r="AR161" i="2"/>
  <c r="AT161" i="2"/>
  <c r="AU161" i="2"/>
  <c r="AW161" i="2"/>
  <c r="AX161" i="2"/>
  <c r="AZ161" i="2"/>
  <c r="BA161" i="2"/>
  <c r="BC161" i="2"/>
  <c r="BD161" i="2"/>
  <c r="BF161" i="2"/>
  <c r="BG161" i="2"/>
  <c r="BI161" i="2"/>
  <c r="BJ161" i="2"/>
  <c r="BL161" i="2"/>
  <c r="BM161" i="2"/>
  <c r="BO161" i="2"/>
  <c r="BP161" i="2"/>
  <c r="BR161" i="2"/>
  <c r="BS161" i="2"/>
  <c r="BU161" i="2"/>
  <c r="BV161" i="2"/>
  <c r="BX161" i="2"/>
  <c r="CA161" i="2"/>
  <c r="AO148" i="2"/>
  <c r="AQ148" i="2"/>
  <c r="AR148" i="2"/>
  <c r="AT148" i="2"/>
  <c r="AU148" i="2"/>
  <c r="AW148" i="2"/>
  <c r="AX148" i="2"/>
  <c r="AZ148" i="2"/>
  <c r="BA148" i="2"/>
  <c r="BC148" i="2"/>
  <c r="BD148" i="2"/>
  <c r="BF148" i="2"/>
  <c r="BG148" i="2"/>
  <c r="BI148" i="2"/>
  <c r="BJ148" i="2"/>
  <c r="BL148" i="2"/>
  <c r="BM148" i="2"/>
  <c r="BO148" i="2"/>
  <c r="BP148" i="2"/>
  <c r="BR148" i="2"/>
  <c r="BS148" i="2"/>
  <c r="BU148" i="2"/>
  <c r="BV148" i="2"/>
  <c r="BX148" i="2"/>
  <c r="CA148" i="2"/>
  <c r="AN101" i="2"/>
  <c r="AO101" i="2"/>
  <c r="AQ101" i="2"/>
  <c r="AR101" i="2"/>
  <c r="AT101" i="2"/>
  <c r="AU101" i="2"/>
  <c r="AW101" i="2"/>
  <c r="AX101" i="2"/>
  <c r="BX101" i="2"/>
  <c r="CA101" i="2"/>
  <c r="BU79" i="2"/>
  <c r="BV79" i="2"/>
  <c r="BX79" i="2"/>
  <c r="CA79" i="2"/>
  <c r="BO79" i="2"/>
  <c r="BP79" i="2"/>
  <c r="BR79" i="2"/>
  <c r="BS79" i="2"/>
  <c r="BJ79" i="2"/>
  <c r="BL79" i="2"/>
  <c r="BM79" i="2"/>
  <c r="BG79" i="2"/>
  <c r="BI79" i="2"/>
  <c r="BD79" i="2"/>
  <c r="BF79" i="2"/>
  <c r="BA79" i="2"/>
  <c r="BC79" i="2"/>
  <c r="AU79" i="2"/>
  <c r="AW79" i="2"/>
  <c r="AX79" i="2"/>
  <c r="AZ79" i="2"/>
  <c r="AN79" i="2"/>
  <c r="AO79" i="2"/>
  <c r="AQ79" i="2"/>
  <c r="AR79" i="2"/>
  <c r="AT79" i="2"/>
  <c r="CA69" i="2"/>
  <c r="AN24" i="2"/>
  <c r="AO24" i="2"/>
  <c r="AQ24" i="2"/>
  <c r="AR24" i="2"/>
  <c r="AT24" i="2"/>
  <c r="AU24" i="2"/>
  <c r="AW24" i="2"/>
  <c r="AX24" i="2"/>
  <c r="AZ24" i="2"/>
  <c r="BA24" i="2"/>
  <c r="BC24" i="2"/>
  <c r="BD24" i="2"/>
  <c r="BF24" i="2"/>
  <c r="BG24" i="2"/>
  <c r="BI24" i="2"/>
  <c r="BJ24" i="2"/>
  <c r="BL24" i="2"/>
  <c r="BM24" i="2"/>
  <c r="BO24" i="2"/>
  <c r="BP24" i="2"/>
  <c r="BR24" i="2"/>
  <c r="BS24" i="2"/>
  <c r="BU24" i="2"/>
  <c r="BV24" i="2"/>
  <c r="BX24" i="2"/>
  <c r="CA24" i="2"/>
  <c r="AK24" i="2"/>
  <c r="AN17" i="2"/>
  <c r="AO17" i="2"/>
  <c r="AQ17" i="2"/>
  <c r="AR17" i="2"/>
  <c r="AT17" i="2"/>
  <c r="AU17" i="2"/>
  <c r="AW17" i="2"/>
  <c r="AX17" i="2"/>
  <c r="AZ17" i="2"/>
  <c r="BA17" i="2"/>
  <c r="BC17" i="2"/>
  <c r="BD17" i="2"/>
  <c r="BF17" i="2"/>
  <c r="BG17" i="2"/>
  <c r="BI17" i="2"/>
  <c r="BJ17" i="2"/>
  <c r="BL17" i="2"/>
  <c r="BM17" i="2"/>
  <c r="BO17" i="2"/>
  <c r="BP17" i="2"/>
  <c r="BR17" i="2"/>
  <c r="BS17" i="2"/>
  <c r="BU17" i="2"/>
  <c r="BV17" i="2"/>
  <c r="BX17" i="2"/>
  <c r="CA17" i="2"/>
  <c r="AK17" i="2"/>
  <c r="AM250" i="2" l="1"/>
  <c r="CC10" i="2"/>
  <c r="AY24" i="2"/>
  <c r="AY161" i="2"/>
  <c r="AY246" i="2"/>
  <c r="AY17" i="2"/>
  <c r="AY79" i="2"/>
  <c r="AY201" i="2"/>
  <c r="CC16" i="2"/>
  <c r="BY79" i="2"/>
  <c r="BY24" i="2"/>
  <c r="BY161" i="2"/>
  <c r="BY201" i="2"/>
  <c r="CB242" i="2"/>
  <c r="CD242" i="2"/>
  <c r="CB230" i="2"/>
  <c r="CD230" i="2"/>
  <c r="CB224" i="2"/>
  <c r="CD224" i="2"/>
  <c r="CB219" i="2"/>
  <c r="CD219" i="2"/>
  <c r="CB210" i="2"/>
  <c r="CC210" i="2"/>
  <c r="CD210" i="2"/>
  <c r="CB199" i="2"/>
  <c r="CD199" i="2"/>
  <c r="CB194" i="2"/>
  <c r="CD194" i="2"/>
  <c r="CB190" i="2"/>
  <c r="CD190" i="2"/>
  <c r="CB184" i="2"/>
  <c r="CD184" i="2"/>
  <c r="CB173" i="2"/>
  <c r="CD173" i="2"/>
  <c r="CB155" i="2"/>
  <c r="CD155" i="2"/>
  <c r="CB144" i="2"/>
  <c r="CD144" i="2"/>
  <c r="CB140" i="2"/>
  <c r="CD140" i="2"/>
  <c r="CB133" i="2"/>
  <c r="CD133" i="2"/>
  <c r="CB120" i="2"/>
  <c r="CD120" i="2"/>
  <c r="CB98" i="2"/>
  <c r="CD98" i="2"/>
  <c r="CB87" i="2"/>
  <c r="CD87" i="2"/>
  <c r="CB78" i="2"/>
  <c r="CD78" i="2"/>
  <c r="CB64" i="2"/>
  <c r="CD64" i="2"/>
  <c r="CB59" i="2"/>
  <c r="CD59" i="2"/>
  <c r="CB55" i="2"/>
  <c r="CD55" i="2"/>
  <c r="CB49" i="2"/>
  <c r="CD49" i="2"/>
  <c r="CB42" i="2"/>
  <c r="CD42" i="2"/>
  <c r="CB38" i="2"/>
  <c r="CD38" i="2"/>
  <c r="CB31" i="2"/>
  <c r="CD31" i="2"/>
  <c r="CB22" i="2"/>
  <c r="CD22" i="2"/>
  <c r="BY17" i="2"/>
  <c r="BY101" i="2"/>
  <c r="CC233" i="2"/>
  <c r="CB233" i="2"/>
  <c r="CD233" i="2"/>
  <c r="CE233" i="2"/>
  <c r="CB229" i="2"/>
  <c r="CD229" i="2"/>
  <c r="CB223" i="2"/>
  <c r="CD223" i="2"/>
  <c r="CB218" i="2"/>
  <c r="CD218" i="2"/>
  <c r="CC209" i="2"/>
  <c r="CB209" i="2"/>
  <c r="CD209" i="2"/>
  <c r="CE209" i="2"/>
  <c r="CB197" i="2"/>
  <c r="CD197" i="2"/>
  <c r="CB193" i="2"/>
  <c r="CD193" i="2"/>
  <c r="CB189" i="2"/>
  <c r="CD189" i="2"/>
  <c r="CB182" i="2"/>
  <c r="CD182" i="2"/>
  <c r="CB172" i="2"/>
  <c r="CD172" i="2"/>
  <c r="CB151" i="2"/>
  <c r="CD151" i="2"/>
  <c r="CB143" i="2"/>
  <c r="CD143" i="2"/>
  <c r="CC139" i="2"/>
  <c r="CB139" i="2"/>
  <c r="CD139" i="2"/>
  <c r="CB123" i="2"/>
  <c r="CD123" i="2"/>
  <c r="CB104" i="2"/>
  <c r="CD104" i="2"/>
  <c r="CC96" i="2"/>
  <c r="CB96" i="2"/>
  <c r="CD96" i="2"/>
  <c r="CE96" i="2"/>
  <c r="CB85" i="2"/>
  <c r="CD85" i="2"/>
  <c r="CB74" i="2"/>
  <c r="CD74" i="2"/>
  <c r="CB63" i="2"/>
  <c r="CD63" i="2"/>
  <c r="CB58" i="2"/>
  <c r="CD58" i="2"/>
  <c r="CB54" i="2"/>
  <c r="CD54" i="2"/>
  <c r="CB47" i="2"/>
  <c r="CD47" i="2"/>
  <c r="CB41" i="2"/>
  <c r="CD41" i="2"/>
  <c r="CB37" i="2"/>
  <c r="CD37" i="2"/>
  <c r="CB28" i="2"/>
  <c r="CD28" i="2"/>
  <c r="CB21" i="2"/>
  <c r="CD21" i="2"/>
  <c r="BY246" i="2"/>
  <c r="CB232" i="2"/>
  <c r="CD232" i="2"/>
  <c r="CB228" i="2"/>
  <c r="CD228" i="2"/>
  <c r="CB222" i="2"/>
  <c r="CD222" i="2"/>
  <c r="CB212" i="2"/>
  <c r="CD212" i="2"/>
  <c r="CC206" i="2"/>
  <c r="CB206" i="2"/>
  <c r="CD206" i="2"/>
  <c r="CE206" i="2"/>
  <c r="CB196" i="2"/>
  <c r="CD196" i="2"/>
  <c r="CB192" i="2"/>
  <c r="CD192" i="2"/>
  <c r="CB188" i="2"/>
  <c r="CD188" i="2"/>
  <c r="CB181" i="2"/>
  <c r="CD181" i="2"/>
  <c r="CB170" i="2"/>
  <c r="CD170" i="2"/>
  <c r="CB147" i="2"/>
  <c r="CD147" i="2"/>
  <c r="CB142" i="2"/>
  <c r="CD142" i="2"/>
  <c r="CB138" i="2"/>
  <c r="CD138" i="2"/>
  <c r="CB122" i="2"/>
  <c r="CD122" i="2"/>
  <c r="CB100" i="2"/>
  <c r="CD100" i="2"/>
  <c r="CB95" i="2"/>
  <c r="CD95" i="2"/>
  <c r="CC83" i="2"/>
  <c r="CB83" i="2"/>
  <c r="CD83" i="2"/>
  <c r="CE83" i="2"/>
  <c r="CB72" i="2"/>
  <c r="CD72" i="2"/>
  <c r="CB62" i="2"/>
  <c r="CD62" i="2"/>
  <c r="CB57" i="2"/>
  <c r="CD57" i="2"/>
  <c r="CB52" i="2"/>
  <c r="CD52" i="2"/>
  <c r="CB45" i="2"/>
  <c r="CD45" i="2"/>
  <c r="CB40" i="2"/>
  <c r="CD40" i="2"/>
  <c r="CB34" i="2"/>
  <c r="CD34" i="2"/>
  <c r="CB27" i="2"/>
  <c r="CD27" i="2"/>
  <c r="CB20" i="2"/>
  <c r="CD20" i="2"/>
  <c r="CB231" i="2"/>
  <c r="CD231" i="2"/>
  <c r="CB227" i="2"/>
  <c r="CD227" i="2"/>
  <c r="CB221" i="2"/>
  <c r="CD221" i="2"/>
  <c r="CB211" i="2"/>
  <c r="CD211" i="2"/>
  <c r="CC200" i="2"/>
  <c r="CB200" i="2"/>
  <c r="CD200" i="2"/>
  <c r="CE200" i="2"/>
  <c r="CB195" i="2"/>
  <c r="CD195" i="2"/>
  <c r="CB191" i="2"/>
  <c r="CD191" i="2"/>
  <c r="CC185" i="2"/>
  <c r="CB185" i="2"/>
  <c r="CD185" i="2"/>
  <c r="CB174" i="2"/>
  <c r="CD174" i="2"/>
  <c r="CB160" i="2"/>
  <c r="CD160" i="2"/>
  <c r="CB145" i="2"/>
  <c r="CD145" i="2"/>
  <c r="CB141" i="2"/>
  <c r="CD141" i="2"/>
  <c r="CB134" i="2"/>
  <c r="CD134" i="2"/>
  <c r="CB121" i="2"/>
  <c r="CD121" i="2"/>
  <c r="CB99" i="2"/>
  <c r="CD99" i="2"/>
  <c r="CB94" i="2"/>
  <c r="CD94" i="2"/>
  <c r="CB82" i="2"/>
  <c r="CD82" i="2"/>
  <c r="CB66" i="2"/>
  <c r="CD66" i="2"/>
  <c r="CB60" i="2"/>
  <c r="CD60" i="2"/>
  <c r="CB56" i="2"/>
  <c r="CD56" i="2"/>
  <c r="CB51" i="2"/>
  <c r="CD51" i="2"/>
  <c r="CB43" i="2"/>
  <c r="CD43" i="2"/>
  <c r="CB39" i="2"/>
  <c r="CD39" i="2"/>
  <c r="CB32" i="2"/>
  <c r="CD32" i="2"/>
  <c r="CC23" i="2"/>
  <c r="CB23" i="2"/>
  <c r="CE23" i="2"/>
  <c r="CD23" i="2"/>
  <c r="CB13" i="2"/>
  <c r="CD13" i="2"/>
  <c r="CE185" i="2"/>
  <c r="CE210" i="2"/>
  <c r="AL248" i="2"/>
  <c r="AL252" i="2" s="1"/>
  <c r="CA248" i="2"/>
  <c r="CA252" i="2" s="1"/>
  <c r="AM17" i="2"/>
  <c r="AM24" i="2"/>
  <c r="CD17" i="2" l="1"/>
  <c r="CD24" i="2"/>
  <c r="CB24" i="2"/>
  <c r="CB17" i="2"/>
  <c r="CB250" i="2"/>
  <c r="CD250" i="2"/>
  <c r="AK79" i="2"/>
  <c r="AM79" i="2"/>
  <c r="CD79" i="2" s="1"/>
  <c r="BN138" i="2"/>
  <c r="BQ138" i="2"/>
  <c r="BT138" i="2"/>
  <c r="BW138" i="2"/>
  <c r="AM207" i="2"/>
  <c r="AE189" i="2"/>
  <c r="AG189" i="2" s="1"/>
  <c r="AI189" i="2" s="1"/>
  <c r="AE190" i="2"/>
  <c r="AG190" i="2" s="1"/>
  <c r="AI190" i="2" s="1"/>
  <c r="AE191" i="2"/>
  <c r="AG191" i="2" s="1"/>
  <c r="AI191" i="2" s="1"/>
  <c r="AE192" i="2"/>
  <c r="AG192" i="2" s="1"/>
  <c r="AI192" i="2" s="1"/>
  <c r="AE193" i="2"/>
  <c r="AG193" i="2" s="1"/>
  <c r="AI193" i="2" s="1"/>
  <c r="AE194" i="2"/>
  <c r="AG194" i="2" s="1"/>
  <c r="AI194" i="2" s="1"/>
  <c r="AE195" i="2"/>
  <c r="AG195" i="2" s="1"/>
  <c r="AI195" i="2" s="1"/>
  <c r="AE196" i="2"/>
  <c r="AG196" i="2" s="1"/>
  <c r="AI196" i="2" s="1"/>
  <c r="AE197" i="2"/>
  <c r="AG197" i="2" s="1"/>
  <c r="AI197" i="2" s="1"/>
  <c r="AE199" i="2"/>
  <c r="AG199" i="2" s="1"/>
  <c r="AI199" i="2" s="1"/>
  <c r="AE200" i="2"/>
  <c r="AG200" i="2" s="1"/>
  <c r="AI200" i="2" s="1"/>
  <c r="AE202" i="2"/>
  <c r="AG202" i="2" s="1"/>
  <c r="AI202" i="2" s="1"/>
  <c r="AE203" i="2"/>
  <c r="AG203" i="2" s="1"/>
  <c r="AI203" i="2" s="1"/>
  <c r="AE204" i="2"/>
  <c r="AG204" i="2" s="1"/>
  <c r="AI204" i="2" s="1"/>
  <c r="AE205" i="2"/>
  <c r="AG205" i="2" s="1"/>
  <c r="AI205" i="2" s="1"/>
  <c r="AE206" i="2"/>
  <c r="AG206" i="2" s="1"/>
  <c r="AI206" i="2" s="1"/>
  <c r="AG18" i="2"/>
  <c r="AI18" i="2" s="1"/>
  <c r="AG19" i="2"/>
  <c r="AI19" i="2" s="1"/>
  <c r="AG22" i="2"/>
  <c r="AI22" i="2" s="1"/>
  <c r="AG25" i="2"/>
  <c r="AI25" i="2" s="1"/>
  <c r="AG26" i="2"/>
  <c r="AI26" i="2" s="1"/>
  <c r="AG27" i="2"/>
  <c r="AI27" i="2" s="1"/>
  <c r="AG37" i="2"/>
  <c r="AI37" i="2" s="1"/>
  <c r="AG70" i="2"/>
  <c r="AI70" i="2" s="1"/>
  <c r="AG71" i="2"/>
  <c r="AI71" i="2" s="1"/>
  <c r="AG72" i="2"/>
  <c r="AI72" i="2" s="1"/>
  <c r="AG74" i="2"/>
  <c r="AI74" i="2" s="1"/>
  <c r="AG250" i="2"/>
  <c r="AI250" i="2" s="1"/>
  <c r="AG78" i="2"/>
  <c r="AI78" i="2" s="1"/>
  <c r="AG80" i="2"/>
  <c r="AI80" i="2" s="1"/>
  <c r="AG81" i="2"/>
  <c r="AI81" i="2" s="1"/>
  <c r="AG82" i="2"/>
  <c r="AI82" i="2" s="1"/>
  <c r="AG87" i="2"/>
  <c r="AI87" i="2" s="1"/>
  <c r="AG93" i="2"/>
  <c r="AI93" i="2" s="1"/>
  <c r="AG99" i="2"/>
  <c r="AI99" i="2" s="1"/>
  <c r="AG100" i="2"/>
  <c r="AI100" i="2" s="1"/>
  <c r="AG102" i="2"/>
  <c r="AI102" i="2" s="1"/>
  <c r="AG103" i="2"/>
  <c r="AI103" i="2" s="1"/>
  <c r="AG104" i="2"/>
  <c r="AI104" i="2" s="1"/>
  <c r="AG120" i="2"/>
  <c r="AI120" i="2" s="1"/>
  <c r="AG121" i="2"/>
  <c r="AI121" i="2" s="1"/>
  <c r="AG122" i="2"/>
  <c r="AI122" i="2" s="1"/>
  <c r="AG124" i="2"/>
  <c r="AI124" i="2" s="1"/>
  <c r="AG130" i="2"/>
  <c r="AI130" i="2" s="1"/>
  <c r="AG131" i="2"/>
  <c r="AI131" i="2" s="1"/>
  <c r="AG133" i="2"/>
  <c r="AI133" i="2" s="1"/>
  <c r="AG140" i="2"/>
  <c r="AI140" i="2" s="1"/>
  <c r="AG141" i="2"/>
  <c r="AI141" i="2" s="1"/>
  <c r="AG146" i="2"/>
  <c r="AI146" i="2" s="1"/>
  <c r="AG147" i="2"/>
  <c r="AI147" i="2" s="1"/>
  <c r="AG149" i="2"/>
  <c r="AI149" i="2" s="1"/>
  <c r="AG150" i="2"/>
  <c r="AI150" i="2" s="1"/>
  <c r="AG151" i="2"/>
  <c r="AI151" i="2" s="1"/>
  <c r="AG158" i="2"/>
  <c r="AI158" i="2" s="1"/>
  <c r="AG159" i="2"/>
  <c r="AI159" i="2" s="1"/>
  <c r="AG160" i="2"/>
  <c r="AI160" i="2" s="1"/>
  <c r="AG162" i="2"/>
  <c r="AI162" i="2" s="1"/>
  <c r="AG163" i="2"/>
  <c r="AI163" i="2" s="1"/>
  <c r="AG165" i="2"/>
  <c r="AI165" i="2" s="1"/>
  <c r="AG166" i="2"/>
  <c r="AI166" i="2" s="1"/>
  <c r="AG167" i="2"/>
  <c r="AI167" i="2" s="1"/>
  <c r="AG168" i="2"/>
  <c r="AI168" i="2" s="1"/>
  <c r="AG169" i="2"/>
  <c r="AI169" i="2" s="1"/>
  <c r="AG170" i="2"/>
  <c r="AI170" i="2" s="1"/>
  <c r="AG172" i="2"/>
  <c r="AI172" i="2" s="1"/>
  <c r="AG173" i="2"/>
  <c r="AI173" i="2" s="1"/>
  <c r="AG174" i="2"/>
  <c r="AI174" i="2" s="1"/>
  <c r="AG182" i="2"/>
  <c r="AI182" i="2" s="1"/>
  <c r="AG184" i="2"/>
  <c r="AI184" i="2" s="1"/>
  <c r="CB79" i="2" l="1"/>
  <c r="CB207" i="2"/>
  <c r="CD207" i="2"/>
  <c r="BZ138" i="2"/>
  <c r="AP13" i="2"/>
  <c r="AG13" i="2"/>
  <c r="AI13" i="2" s="1"/>
  <c r="BW224" i="2"/>
  <c r="BW227" i="2"/>
  <c r="BW228" i="2"/>
  <c r="BW229" i="2"/>
  <c r="BW230" i="2"/>
  <c r="BW231" i="2"/>
  <c r="BW232" i="2"/>
  <c r="BT224" i="2"/>
  <c r="BT227" i="2"/>
  <c r="BT228" i="2"/>
  <c r="BT229" i="2"/>
  <c r="BT230" i="2"/>
  <c r="BT231" i="2"/>
  <c r="BT232" i="2"/>
  <c r="BT241" i="2"/>
  <c r="BQ224" i="2"/>
  <c r="BQ227" i="2"/>
  <c r="BQ228" i="2"/>
  <c r="BQ229" i="2"/>
  <c r="BQ230" i="2"/>
  <c r="BQ231" i="2"/>
  <c r="BQ232" i="2"/>
  <c r="BQ241" i="2"/>
  <c r="BN224" i="2"/>
  <c r="BN227" i="2"/>
  <c r="BN228" i="2"/>
  <c r="BN229" i="2"/>
  <c r="BN230" i="2"/>
  <c r="BN231" i="2"/>
  <c r="BN232" i="2"/>
  <c r="BN241" i="2"/>
  <c r="BK224" i="2"/>
  <c r="BK227" i="2"/>
  <c r="BK228" i="2"/>
  <c r="BK229" i="2"/>
  <c r="BK230" i="2"/>
  <c r="BK231" i="2"/>
  <c r="BK232" i="2"/>
  <c r="BK241" i="2"/>
  <c r="BH224" i="2"/>
  <c r="BH227" i="2"/>
  <c r="BH228" i="2"/>
  <c r="BH229" i="2"/>
  <c r="BH230" i="2"/>
  <c r="BH231" i="2"/>
  <c r="BH232" i="2"/>
  <c r="BH241" i="2"/>
  <c r="BE224" i="2"/>
  <c r="BE227" i="2"/>
  <c r="BE228" i="2"/>
  <c r="BE229" i="2"/>
  <c r="BE230" i="2"/>
  <c r="BE231" i="2"/>
  <c r="BE232" i="2"/>
  <c r="BE241" i="2"/>
  <c r="BB224" i="2"/>
  <c r="BB227" i="2"/>
  <c r="BB232" i="2"/>
  <c r="BB241" i="2"/>
  <c r="BB170" i="2"/>
  <c r="BB172" i="2"/>
  <c r="BB173" i="2"/>
  <c r="BB174" i="2"/>
  <c r="BB181" i="2"/>
  <c r="BB182" i="2"/>
  <c r="BB184" i="2"/>
  <c r="BB187" i="2"/>
  <c r="BB188" i="2"/>
  <c r="BB189" i="2"/>
  <c r="BB190" i="2"/>
  <c r="BB191" i="2"/>
  <c r="BB192" i="2"/>
  <c r="BB193" i="2"/>
  <c r="BB194" i="2"/>
  <c r="BB195" i="2"/>
  <c r="BB196" i="2"/>
  <c r="BB197" i="2"/>
  <c r="BB199" i="2"/>
  <c r="BE170" i="2"/>
  <c r="BE172" i="2"/>
  <c r="BE173" i="2"/>
  <c r="BE174" i="2"/>
  <c r="BE181" i="2"/>
  <c r="BE182" i="2"/>
  <c r="BE184" i="2"/>
  <c r="BE187" i="2"/>
  <c r="BE188" i="2"/>
  <c r="BE189" i="2"/>
  <c r="BE190" i="2"/>
  <c r="BE191" i="2"/>
  <c r="BE192" i="2"/>
  <c r="BE193" i="2"/>
  <c r="BE194" i="2"/>
  <c r="BE195" i="2"/>
  <c r="BE196" i="2"/>
  <c r="BE197" i="2"/>
  <c r="BE199" i="2"/>
  <c r="BH170" i="2"/>
  <c r="BH172" i="2"/>
  <c r="BH173" i="2"/>
  <c r="BH174" i="2"/>
  <c r="BH181" i="2"/>
  <c r="BH182" i="2"/>
  <c r="BH184" i="2"/>
  <c r="BH187" i="2"/>
  <c r="BH188" i="2"/>
  <c r="BH189" i="2"/>
  <c r="BH190" i="2"/>
  <c r="BH191" i="2"/>
  <c r="BH192" i="2"/>
  <c r="BH193" i="2"/>
  <c r="BH194" i="2"/>
  <c r="BH195" i="2"/>
  <c r="BH196" i="2"/>
  <c r="BH197" i="2"/>
  <c r="BH199" i="2"/>
  <c r="BK170" i="2"/>
  <c r="BK172" i="2"/>
  <c r="BK173" i="2"/>
  <c r="BK174" i="2"/>
  <c r="BK181" i="2"/>
  <c r="BK182" i="2"/>
  <c r="BK184" i="2"/>
  <c r="BK187" i="2"/>
  <c r="BK188" i="2"/>
  <c r="BK189" i="2"/>
  <c r="BK190" i="2"/>
  <c r="BK191" i="2"/>
  <c r="BK192" i="2"/>
  <c r="BK193" i="2"/>
  <c r="BK194" i="2"/>
  <c r="BK195" i="2"/>
  <c r="BK196" i="2"/>
  <c r="BK197" i="2"/>
  <c r="BK199" i="2"/>
  <c r="BN170" i="2"/>
  <c r="BN172" i="2"/>
  <c r="BN173" i="2"/>
  <c r="BN174" i="2"/>
  <c r="BN181" i="2"/>
  <c r="BN182" i="2"/>
  <c r="BN184" i="2"/>
  <c r="BN187" i="2"/>
  <c r="BN188" i="2"/>
  <c r="BN189" i="2"/>
  <c r="BN190" i="2"/>
  <c r="BN191" i="2"/>
  <c r="BN192" i="2"/>
  <c r="BN193" i="2"/>
  <c r="BN194" i="2"/>
  <c r="BN195" i="2"/>
  <c r="BN196" i="2"/>
  <c r="BN197" i="2"/>
  <c r="BN199" i="2"/>
  <c r="BQ170" i="2"/>
  <c r="BQ172" i="2"/>
  <c r="BQ173" i="2"/>
  <c r="BQ174" i="2"/>
  <c r="BQ181" i="2"/>
  <c r="BQ182" i="2"/>
  <c r="BQ184" i="2"/>
  <c r="BQ187" i="2"/>
  <c r="BQ188" i="2"/>
  <c r="BQ189" i="2"/>
  <c r="BQ190" i="2"/>
  <c r="BQ191" i="2"/>
  <c r="BQ192" i="2"/>
  <c r="BQ193" i="2"/>
  <c r="BQ194" i="2"/>
  <c r="BQ195" i="2"/>
  <c r="BQ196" i="2"/>
  <c r="BQ197" i="2"/>
  <c r="BQ199" i="2"/>
  <c r="BT170" i="2"/>
  <c r="BT172" i="2"/>
  <c r="BT173" i="2"/>
  <c r="BT174" i="2"/>
  <c r="BT181" i="2"/>
  <c r="BT182" i="2"/>
  <c r="BT184" i="2"/>
  <c r="BT187" i="2"/>
  <c r="BT188" i="2"/>
  <c r="BT189" i="2"/>
  <c r="BT190" i="2"/>
  <c r="BT191" i="2"/>
  <c r="BT192" i="2"/>
  <c r="BT193" i="2"/>
  <c r="BT194" i="2"/>
  <c r="BT195" i="2"/>
  <c r="BT196" i="2"/>
  <c r="BT197" i="2"/>
  <c r="BT199" i="2"/>
  <c r="BW170" i="2"/>
  <c r="BW172" i="2"/>
  <c r="BW173" i="2"/>
  <c r="BW174" i="2"/>
  <c r="BW181" i="2"/>
  <c r="BW182" i="2"/>
  <c r="BW184" i="2"/>
  <c r="BW187" i="2"/>
  <c r="BW188" i="2"/>
  <c r="BW189" i="2"/>
  <c r="BW190" i="2"/>
  <c r="BW191" i="2"/>
  <c r="BW192" i="2"/>
  <c r="BW193" i="2"/>
  <c r="BW194" i="2"/>
  <c r="BW195" i="2"/>
  <c r="BW196" i="2"/>
  <c r="BW197" i="2"/>
  <c r="BW199" i="2"/>
  <c r="AP224" i="2"/>
  <c r="AM220" i="2"/>
  <c r="BZ13" i="2" l="1"/>
  <c r="CC13" i="2" s="1"/>
  <c r="BZ224" i="2"/>
  <c r="CC224" i="2" s="1"/>
  <c r="CB220" i="2"/>
  <c r="CD220" i="2"/>
  <c r="CE138" i="2"/>
  <c r="CC138" i="2"/>
  <c r="AP37" i="2"/>
  <c r="CE13" i="2" l="1"/>
  <c r="CE224" i="2"/>
  <c r="AP7" i="2"/>
  <c r="AP17" i="2" l="1"/>
  <c r="BX69" i="2"/>
  <c r="BV69" i="2"/>
  <c r="BV248" i="2" s="1"/>
  <c r="BV252" i="2" s="1"/>
  <c r="BU69" i="2"/>
  <c r="BU248" i="2" s="1"/>
  <c r="BU252" i="2" s="1"/>
  <c r="BS69" i="2"/>
  <c r="BS248" i="2" s="1"/>
  <c r="BS252" i="2" s="1"/>
  <c r="BR69" i="2"/>
  <c r="BR248" i="2" s="1"/>
  <c r="BR252" i="2" s="1"/>
  <c r="BP69" i="2"/>
  <c r="BP248" i="2" s="1"/>
  <c r="BP252" i="2" s="1"/>
  <c r="BO69" i="2"/>
  <c r="BO248" i="2" s="1"/>
  <c r="BO252" i="2" s="1"/>
  <c r="BM69" i="2"/>
  <c r="BM248" i="2" s="1"/>
  <c r="BM252" i="2" s="1"/>
  <c r="BL69" i="2"/>
  <c r="BL248" i="2" s="1"/>
  <c r="BL252" i="2" s="1"/>
  <c r="BJ69" i="2"/>
  <c r="BJ248" i="2" s="1"/>
  <c r="BJ252" i="2" s="1"/>
  <c r="BI69" i="2"/>
  <c r="BI248" i="2" s="1"/>
  <c r="BI252" i="2" s="1"/>
  <c r="BG69" i="2"/>
  <c r="BG248" i="2" s="1"/>
  <c r="BG252" i="2" s="1"/>
  <c r="BF69" i="2"/>
  <c r="BF248" i="2" s="1"/>
  <c r="BF252" i="2" s="1"/>
  <c r="BD69" i="2"/>
  <c r="BD248" i="2" s="1"/>
  <c r="BD252" i="2" s="1"/>
  <c r="BC69" i="2"/>
  <c r="BC248" i="2" s="1"/>
  <c r="BC252" i="2" s="1"/>
  <c r="BA69" i="2"/>
  <c r="BA248" i="2" s="1"/>
  <c r="BA252" i="2" s="1"/>
  <c r="AZ69" i="2"/>
  <c r="AZ248" i="2" s="1"/>
  <c r="AZ252" i="2" s="1"/>
  <c r="AX69" i="2"/>
  <c r="AX248" i="2" s="1"/>
  <c r="AX252" i="2" s="1"/>
  <c r="AW69" i="2"/>
  <c r="AU69" i="2"/>
  <c r="AU248" i="2" s="1"/>
  <c r="AU252" i="2" s="1"/>
  <c r="AT69" i="2"/>
  <c r="AR69" i="2"/>
  <c r="AR248" i="2" s="1"/>
  <c r="AR252" i="2" s="1"/>
  <c r="AQ69" i="2"/>
  <c r="AO69" i="2"/>
  <c r="AO248" i="2" s="1"/>
  <c r="AO252" i="2" s="1"/>
  <c r="AN69" i="2"/>
  <c r="BX248" i="2" l="1"/>
  <c r="BX252" i="2" s="1"/>
  <c r="AJ13" i="3" s="1" a="1"/>
  <c r="AJ13" i="3" s="1"/>
  <c r="AW248" i="2"/>
  <c r="AY248" i="2" s="1"/>
  <c r="AY69" i="2"/>
  <c r="AT248" i="2"/>
  <c r="AQ248" i="2"/>
  <c r="AQ252" i="2" s="1"/>
  <c r="BY69" i="2"/>
  <c r="AN148" i="2"/>
  <c r="BY148" i="2" s="1"/>
  <c r="BY107" i="2"/>
  <c r="AP31" i="2"/>
  <c r="AJ17" i="3" l="1" a="1"/>
  <c r="AJ17" i="3" s="1"/>
  <c r="AJ12" i="3" a="1"/>
  <c r="AJ12" i="3" s="1"/>
  <c r="AJ6" i="3" a="1"/>
  <c r="AJ6" i="3" s="1"/>
  <c r="AJ9" i="3" a="1"/>
  <c r="AJ9" i="3" s="1"/>
  <c r="AW252" i="2"/>
  <c r="P144" i="3" s="1" a="1"/>
  <c r="P144" i="3" s="1"/>
  <c r="AT252" i="2"/>
  <c r="P105" i="3" s="1" a="1"/>
  <c r="P105" i="3" s="1"/>
  <c r="L394" i="3" a="1"/>
  <c r="L394" i="3" s="1"/>
  <c r="L395" i="3" a="1"/>
  <c r="L395" i="3" s="1"/>
  <c r="L398" i="3" a="1"/>
  <c r="L398" i="3" s="1"/>
  <c r="L392" i="3" a="1"/>
  <c r="L392" i="3" s="1"/>
  <c r="L401" i="3" a="1"/>
  <c r="L401" i="3" s="1"/>
  <c r="L396" i="3" a="1"/>
  <c r="L396" i="3" s="1"/>
  <c r="L390" i="3" a="1"/>
  <c r="L390" i="3" s="1"/>
  <c r="L399" i="3" a="1"/>
  <c r="L399" i="3" s="1"/>
  <c r="L393" i="3" a="1"/>
  <c r="L393" i="3" s="1"/>
  <c r="L402" i="3" a="1"/>
  <c r="L402" i="3" s="1"/>
  <c r="L397" i="3" a="1"/>
  <c r="L397" i="3" s="1"/>
  <c r="L391" i="3" a="1"/>
  <c r="L391" i="3" s="1"/>
  <c r="L400" i="3" a="1"/>
  <c r="L400" i="3" s="1"/>
  <c r="AJ394" i="3" a="1"/>
  <c r="AJ394" i="3" s="1"/>
  <c r="AJ396" i="3" a="1"/>
  <c r="AJ396" i="3" s="1"/>
  <c r="AJ400" i="3" a="1"/>
  <c r="AJ400" i="3" s="1"/>
  <c r="AJ392" i="3" a="1"/>
  <c r="AJ392" i="3" s="1"/>
  <c r="AJ395" i="3" a="1"/>
  <c r="AJ395" i="3" s="1"/>
  <c r="AJ399" i="3" a="1"/>
  <c r="AJ399" i="3" s="1"/>
  <c r="AJ390" i="3" a="1"/>
  <c r="AJ390" i="3" s="1"/>
  <c r="AJ393" i="3" a="1"/>
  <c r="AJ393" i="3" s="1"/>
  <c r="AJ398" i="3" a="1"/>
  <c r="AJ398" i="3" s="1"/>
  <c r="AJ402" i="3" a="1"/>
  <c r="AJ402" i="3" s="1"/>
  <c r="AJ391" i="3" a="1"/>
  <c r="AJ391" i="3" s="1"/>
  <c r="AJ397" i="3" a="1"/>
  <c r="AJ397" i="3" s="1"/>
  <c r="AJ401" i="3" a="1"/>
  <c r="AJ401" i="3" s="1"/>
  <c r="AJ41" i="3" a="1"/>
  <c r="AJ41" i="3" s="1"/>
  <c r="L41" i="3" a="1"/>
  <c r="L41" i="3" s="1"/>
  <c r="AJ56" i="3" a="1"/>
  <c r="AJ56" i="3" s="1"/>
  <c r="L56" i="3" a="1"/>
  <c r="L56" i="3" s="1"/>
  <c r="L364" i="3" a="1"/>
  <c r="L364" i="3" s="1"/>
  <c r="L370" i="3" a="1"/>
  <c r="L370" i="3" s="1"/>
  <c r="L362" i="3" a="1"/>
  <c r="L362" i="3" s="1"/>
  <c r="L369" i="3" a="1"/>
  <c r="L369" i="3" s="1"/>
  <c r="L366" i="3" a="1"/>
  <c r="L366" i="3" s="1"/>
  <c r="L365" i="3" a="1"/>
  <c r="L365" i="3" s="1"/>
  <c r="L371" i="3" a="1"/>
  <c r="L371" i="3" s="1"/>
  <c r="L368" i="3" a="1"/>
  <c r="L368" i="3" s="1"/>
  <c r="L372" i="3" a="1"/>
  <c r="L372" i="3" s="1"/>
  <c r="L363" i="3" a="1"/>
  <c r="L363" i="3" s="1"/>
  <c r="L374" i="3" a="1"/>
  <c r="L374" i="3" s="1"/>
  <c r="L367" i="3" a="1"/>
  <c r="L367" i="3" s="1"/>
  <c r="L373" i="3" a="1"/>
  <c r="L373" i="3" s="1"/>
  <c r="L12" i="3" a="1"/>
  <c r="L12" i="3" s="1"/>
  <c r="L144" i="3" a="1"/>
  <c r="L144" i="3" s="1"/>
  <c r="L148" i="3" a="1"/>
  <c r="L148" i="3" s="1"/>
  <c r="L149" i="3" a="1"/>
  <c r="L149" i="3" s="1"/>
  <c r="L152" i="3" a="1"/>
  <c r="L152" i="3" s="1"/>
  <c r="L151" i="3" a="1"/>
  <c r="L151" i="3" s="1"/>
  <c r="L153" i="3" a="1"/>
  <c r="L153" i="3" s="1"/>
  <c r="L145" i="3" a="1"/>
  <c r="L145" i="3" s="1"/>
  <c r="L146" i="3" a="1"/>
  <c r="L146" i="3" s="1"/>
  <c r="L150" i="3" a="1"/>
  <c r="L150" i="3" s="1"/>
  <c r="L147" i="3" a="1"/>
  <c r="L147" i="3" s="1"/>
  <c r="L9" i="3" a="1"/>
  <c r="L9" i="3" s="1"/>
  <c r="AN248" i="2"/>
  <c r="AK169" i="2"/>
  <c r="AP199" i="2"/>
  <c r="BZ199" i="2" s="1"/>
  <c r="AP182" i="2"/>
  <c r="BZ182" i="2" s="1"/>
  <c r="AP184" i="2"/>
  <c r="BZ184" i="2" s="1"/>
  <c r="AP170" i="2"/>
  <c r="BZ170" i="2" s="1"/>
  <c r="AP172" i="2"/>
  <c r="BZ172" i="2" s="1"/>
  <c r="AP174" i="2"/>
  <c r="BZ174" i="2" s="1"/>
  <c r="P398" i="3" l="1" a="1"/>
  <c r="P398" i="3" s="1"/>
  <c r="P364" i="3" a="1"/>
  <c r="P364" i="3" s="1"/>
  <c r="P368" i="3" a="1"/>
  <c r="P368" i="3" s="1"/>
  <c r="P371" i="3" a="1"/>
  <c r="P371" i="3" s="1"/>
  <c r="P365" i="3" a="1"/>
  <c r="P365" i="3" s="1"/>
  <c r="P396" i="3" a="1"/>
  <c r="P396" i="3" s="1"/>
  <c r="P372" i="3" a="1"/>
  <c r="P372" i="3" s="1"/>
  <c r="P391" i="3" a="1"/>
  <c r="P391" i="3" s="1"/>
  <c r="P362" i="3" a="1"/>
  <c r="P362" i="3" s="1"/>
  <c r="P366" i="3" a="1"/>
  <c r="P366" i="3" s="1"/>
  <c r="P397" i="3" a="1"/>
  <c r="P397" i="3" s="1"/>
  <c r="P395" i="3" a="1"/>
  <c r="P395" i="3" s="1"/>
  <c r="P367" i="3" a="1"/>
  <c r="P367" i="3" s="1"/>
  <c r="P399" i="3" a="1"/>
  <c r="P399" i="3" s="1"/>
  <c r="P373" i="3" a="1"/>
  <c r="P373" i="3" s="1"/>
  <c r="P394" i="3" a="1"/>
  <c r="P394" i="3" s="1"/>
  <c r="P370" i="3" a="1"/>
  <c r="P370" i="3" s="1"/>
  <c r="P400" i="3" a="1"/>
  <c r="P400" i="3" s="1"/>
  <c r="P402" i="3" a="1"/>
  <c r="P402" i="3" s="1"/>
  <c r="P392" i="3" a="1"/>
  <c r="P392" i="3" s="1"/>
  <c r="P374" i="3" a="1"/>
  <c r="P374" i="3" s="1"/>
  <c r="P369" i="3" a="1"/>
  <c r="P369" i="3" s="1"/>
  <c r="P401" i="3" a="1"/>
  <c r="P401" i="3" s="1"/>
  <c r="P390" i="3" a="1"/>
  <c r="P390" i="3" s="1"/>
  <c r="P363" i="3" a="1"/>
  <c r="P363" i="3" s="1"/>
  <c r="P393" i="3" a="1"/>
  <c r="P393" i="3" s="1"/>
  <c r="P153" i="3" a="1"/>
  <c r="P153" i="3" s="1"/>
  <c r="P146" i="3" a="1"/>
  <c r="P146" i="3" s="1"/>
  <c r="P14" i="3" a="1"/>
  <c r="P14" i="3" s="1"/>
  <c r="P12" i="3" a="1"/>
  <c r="P12" i="3" s="1"/>
  <c r="P8" i="3" a="1"/>
  <c r="P8" i="3" s="1"/>
  <c r="P13" i="3" a="1"/>
  <c r="P13" i="3" s="1"/>
  <c r="P6" i="3" a="1"/>
  <c r="P6" i="3" s="1"/>
  <c r="P150" i="3" a="1"/>
  <c r="P150" i="3" s="1"/>
  <c r="P15" i="3" a="1"/>
  <c r="P15" i="3" s="1"/>
  <c r="P149" i="3" a="1"/>
  <c r="P149" i="3" s="1"/>
  <c r="P16" i="3" a="1"/>
  <c r="P16" i="3" s="1"/>
  <c r="P151" i="3" a="1"/>
  <c r="P151" i="3" s="1"/>
  <c r="P11" i="3" a="1"/>
  <c r="P11" i="3" s="1"/>
  <c r="P147" i="3" a="1"/>
  <c r="P147" i="3" s="1"/>
  <c r="P17" i="3" a="1"/>
  <c r="P17" i="3" s="1"/>
  <c r="P18" i="3" a="1"/>
  <c r="P18" i="3" s="1"/>
  <c r="P5" i="3" a="1"/>
  <c r="P5" i="3" s="1"/>
  <c r="P148" i="3" a="1"/>
  <c r="P148" i="3" s="1"/>
  <c r="P152" i="3" a="1"/>
  <c r="P152" i="3" s="1"/>
  <c r="P145" i="3" a="1"/>
  <c r="P145" i="3" s="1"/>
  <c r="P10" i="3" a="1"/>
  <c r="P10" i="3" s="1"/>
  <c r="P9" i="3" a="1"/>
  <c r="P9" i="3" s="1"/>
  <c r="Q105" i="3" a="1"/>
  <c r="Q105" i="3" s="1"/>
  <c r="AY252" i="2"/>
  <c r="P54" i="3" a="1"/>
  <c r="P54" i="3" s="1"/>
  <c r="P48" i="3" a="1"/>
  <c r="P48" i="3" s="1"/>
  <c r="P114" i="3" a="1"/>
  <c r="P114" i="3" s="1"/>
  <c r="P78" i="3" a="1"/>
  <c r="P78" i="3" s="1"/>
  <c r="P42" i="3" a="1"/>
  <c r="P42" i="3" s="1"/>
  <c r="P81" i="3" a="1"/>
  <c r="P81" i="3" s="1"/>
  <c r="P25" i="3" a="1"/>
  <c r="P25" i="3" s="1"/>
  <c r="P98" i="3" a="1"/>
  <c r="P98" i="3" s="1"/>
  <c r="P64" i="3" a="1"/>
  <c r="P64" i="3" s="1"/>
  <c r="P109" i="3" a="1"/>
  <c r="P109" i="3" s="1"/>
  <c r="P77" i="3" a="1"/>
  <c r="P77" i="3" s="1"/>
  <c r="P108" i="3" a="1"/>
  <c r="P108" i="3" s="1"/>
  <c r="P55" i="3" a="1"/>
  <c r="P55" i="3" s="1"/>
  <c r="P35" i="3" a="1"/>
  <c r="P35" i="3" s="1"/>
  <c r="P52" i="3" a="1"/>
  <c r="P52" i="3" s="1"/>
  <c r="P31" i="3" a="1"/>
  <c r="P31" i="3" s="1"/>
  <c r="P107" i="3" a="1"/>
  <c r="P107" i="3" s="1"/>
  <c r="P26" i="3" a="1"/>
  <c r="P26" i="3" s="1"/>
  <c r="P73" i="3" a="1"/>
  <c r="P73" i="3" s="1"/>
  <c r="P57" i="3" a="1"/>
  <c r="P57" i="3" s="1"/>
  <c r="P41" i="3" a="1"/>
  <c r="P41" i="3" s="1"/>
  <c r="P113" i="3" a="1"/>
  <c r="P113" i="3" s="1"/>
  <c r="P33" i="3" a="1"/>
  <c r="P33" i="3" s="1"/>
  <c r="P97" i="3" a="1"/>
  <c r="P97" i="3" s="1"/>
  <c r="P62" i="3" a="1"/>
  <c r="P62" i="3" s="1"/>
  <c r="P66" i="3" a="1"/>
  <c r="P66" i="3" s="1"/>
  <c r="P53" i="3" a="1"/>
  <c r="P53" i="3" s="1"/>
  <c r="P85" i="3" a="1"/>
  <c r="P85" i="3" s="1"/>
  <c r="P56" i="3" a="1"/>
  <c r="P56" i="3" s="1"/>
  <c r="P50" i="3" a="1"/>
  <c r="P50" i="3" s="1"/>
  <c r="P27" i="3" a="1"/>
  <c r="P27" i="3" s="1"/>
  <c r="P83" i="3" a="1"/>
  <c r="P83" i="3" s="1"/>
  <c r="P45" i="3" a="1"/>
  <c r="P45" i="3" s="1"/>
  <c r="P69" i="3" a="1"/>
  <c r="P69" i="3" s="1"/>
  <c r="P70" i="3" a="1"/>
  <c r="P70" i="3" s="1"/>
  <c r="P63" i="3" a="1"/>
  <c r="P63" i="3" s="1"/>
  <c r="P40" i="3" a="1"/>
  <c r="P40" i="3" s="1"/>
  <c r="P61" i="3" a="1"/>
  <c r="P61" i="3" s="1"/>
  <c r="P36" i="3" a="1"/>
  <c r="P36" i="3" s="1"/>
  <c r="P59" i="3" a="1"/>
  <c r="P59" i="3" s="1"/>
  <c r="P39" i="3" a="1"/>
  <c r="P39" i="3" s="1"/>
  <c r="P49" i="3" a="1"/>
  <c r="P49" i="3" s="1"/>
  <c r="P67" i="3" a="1"/>
  <c r="P67" i="3" s="1"/>
  <c r="P43" i="3" a="1"/>
  <c r="P43" i="3" s="1"/>
  <c r="P71" i="3" a="1"/>
  <c r="P71" i="3" s="1"/>
  <c r="P46" i="3" a="1"/>
  <c r="P46" i="3" s="1"/>
  <c r="P34" i="3" a="1"/>
  <c r="P34" i="3" s="1"/>
  <c r="P44" i="3" a="1"/>
  <c r="P44" i="3" s="1"/>
  <c r="P74" i="3" a="1"/>
  <c r="P74" i="3" s="1"/>
  <c r="P99" i="3" a="1"/>
  <c r="P99" i="3" s="1"/>
  <c r="P84" i="3" a="1"/>
  <c r="P84" i="3" s="1"/>
  <c r="P51" i="3" a="1"/>
  <c r="P51" i="3" s="1"/>
  <c r="P102" i="3" a="1"/>
  <c r="P102" i="3" s="1"/>
  <c r="P103" i="3" a="1"/>
  <c r="P103" i="3" s="1"/>
  <c r="P29" i="3" a="1"/>
  <c r="P29" i="3" s="1"/>
  <c r="P82" i="3" a="1"/>
  <c r="P82" i="3" s="1"/>
  <c r="P115" i="3" a="1"/>
  <c r="P115" i="3" s="1"/>
  <c r="P28" i="3" a="1"/>
  <c r="P28" i="3" s="1"/>
  <c r="P47" i="3" a="1"/>
  <c r="P47" i="3" s="1"/>
  <c r="P32" i="3" a="1"/>
  <c r="P32" i="3" s="1"/>
  <c r="P65" i="3" a="1"/>
  <c r="P65" i="3" s="1"/>
  <c r="P68" i="3" a="1"/>
  <c r="P68" i="3" s="1"/>
  <c r="P79" i="3" a="1"/>
  <c r="P79" i="3" s="1"/>
  <c r="P76" i="3" a="1"/>
  <c r="P76" i="3" s="1"/>
  <c r="P75" i="3" a="1"/>
  <c r="P75" i="3" s="1"/>
  <c r="P80" i="3" a="1"/>
  <c r="P80" i="3" s="1"/>
  <c r="P104" i="3" a="1"/>
  <c r="P104" i="3" s="1"/>
  <c r="P72" i="3" a="1"/>
  <c r="P72" i="3" s="1"/>
  <c r="P111" i="3" a="1"/>
  <c r="P111" i="3" s="1"/>
  <c r="P112" i="3" a="1"/>
  <c r="P112" i="3" s="1"/>
  <c r="P30" i="3" a="1"/>
  <c r="P30" i="3" s="1"/>
  <c r="P101" i="3" a="1"/>
  <c r="P101" i="3" s="1"/>
  <c r="P60" i="3" a="1"/>
  <c r="P60" i="3" s="1"/>
  <c r="P38" i="3" a="1"/>
  <c r="P38" i="3" s="1"/>
  <c r="P37" i="3" a="1"/>
  <c r="P37" i="3" s="1"/>
  <c r="P58" i="3" a="1"/>
  <c r="P58" i="3" s="1"/>
  <c r="N103" i="3" a="1"/>
  <c r="N103" i="3" s="1"/>
  <c r="N390" i="3" a="1"/>
  <c r="N390" i="3" s="1"/>
  <c r="N392" i="3" a="1"/>
  <c r="N392" i="3" s="1"/>
  <c r="N402" i="3" a="1"/>
  <c r="N402" i="3" s="1"/>
  <c r="N399" i="3" a="1"/>
  <c r="N399" i="3" s="1"/>
  <c r="N396" i="3" a="1"/>
  <c r="N396" i="3" s="1"/>
  <c r="N393" i="3" a="1"/>
  <c r="N393" i="3" s="1"/>
  <c r="N395" i="3" a="1"/>
  <c r="N395" i="3" s="1"/>
  <c r="N400" i="3" a="1"/>
  <c r="N400" i="3" s="1"/>
  <c r="N397" i="3" a="1"/>
  <c r="N397" i="3" s="1"/>
  <c r="N394" i="3" a="1"/>
  <c r="N394" i="3" s="1"/>
  <c r="N391" i="3" a="1"/>
  <c r="N391" i="3" s="1"/>
  <c r="N401" i="3" a="1"/>
  <c r="N401" i="3" s="1"/>
  <c r="N398" i="3" a="1"/>
  <c r="N398" i="3" s="1"/>
  <c r="N6" i="3" a="1"/>
  <c r="N6" i="3" s="1"/>
  <c r="N153" i="3" a="1"/>
  <c r="N153" i="3" s="1"/>
  <c r="N14" i="3" a="1"/>
  <c r="N14" i="3" s="1"/>
  <c r="N368" i="3" a="1"/>
  <c r="N368" i="3" s="1"/>
  <c r="N17" i="3" a="1"/>
  <c r="N17" i="3" s="1"/>
  <c r="N11" i="3" a="1"/>
  <c r="N11" i="3" s="1"/>
  <c r="N148" i="3" a="1"/>
  <c r="N148" i="3" s="1"/>
  <c r="N373" i="3" a="1"/>
  <c r="N373" i="3" s="1"/>
  <c r="N374" i="3" a="1"/>
  <c r="N374" i="3" s="1"/>
  <c r="N15" i="3" a="1"/>
  <c r="N15" i="3" s="1"/>
  <c r="N5" i="3" a="1"/>
  <c r="N5" i="3" s="1"/>
  <c r="N8" i="3" a="1"/>
  <c r="N8" i="3" s="1"/>
  <c r="N150" i="3" a="1"/>
  <c r="N150" i="3" s="1"/>
  <c r="N152" i="3" a="1"/>
  <c r="N152" i="3" s="1"/>
  <c r="N145" i="3" a="1"/>
  <c r="N145" i="3" s="1"/>
  <c r="N363" i="3" a="1"/>
  <c r="N363" i="3" s="1"/>
  <c r="N370" i="3" a="1"/>
  <c r="N370" i="3" s="1"/>
  <c r="N362" i="3" a="1"/>
  <c r="N362" i="3" s="1"/>
  <c r="N12" i="3" a="1"/>
  <c r="N12" i="3" s="1"/>
  <c r="N13" i="3" a="1"/>
  <c r="N13" i="3" s="1"/>
  <c r="N10" i="3" a="1"/>
  <c r="N10" i="3" s="1"/>
  <c r="N16" i="3" a="1"/>
  <c r="N16" i="3" s="1"/>
  <c r="N9" i="3" a="1"/>
  <c r="N9" i="3" s="1"/>
  <c r="N18" i="3" a="1"/>
  <c r="N18" i="3" s="1"/>
  <c r="N151" i="3" a="1"/>
  <c r="N151" i="3" s="1"/>
  <c r="N147" i="3" a="1"/>
  <c r="N147" i="3" s="1"/>
  <c r="N146" i="3" a="1"/>
  <c r="N146" i="3" s="1"/>
  <c r="N149" i="3" a="1"/>
  <c r="N149" i="3" s="1"/>
  <c r="N144" i="3" a="1"/>
  <c r="N144" i="3" s="1"/>
  <c r="N366" i="3" a="1"/>
  <c r="N366" i="3" s="1"/>
  <c r="N371" i="3" a="1"/>
  <c r="N371" i="3" s="1"/>
  <c r="N367" i="3" a="1"/>
  <c r="N367" i="3" s="1"/>
  <c r="N364" i="3" a="1"/>
  <c r="N364" i="3" s="1"/>
  <c r="N372" i="3" a="1"/>
  <c r="N372" i="3" s="1"/>
  <c r="N365" i="3" a="1"/>
  <c r="N365" i="3" s="1"/>
  <c r="N369" i="3" a="1"/>
  <c r="N369" i="3" s="1"/>
  <c r="N31" i="3" a="1"/>
  <c r="N31" i="3" s="1"/>
  <c r="N27" i="3" a="1"/>
  <c r="N27" i="3" s="1"/>
  <c r="N83" i="3" a="1"/>
  <c r="N83" i="3" s="1"/>
  <c r="N69" i="3" a="1"/>
  <c r="N69" i="3" s="1"/>
  <c r="N57" i="3" a="1"/>
  <c r="N57" i="3" s="1"/>
  <c r="N104" i="3" a="1"/>
  <c r="N104" i="3" s="1"/>
  <c r="N74" i="3" a="1"/>
  <c r="N74" i="3" s="1"/>
  <c r="N55" i="3" a="1"/>
  <c r="N55" i="3" s="1"/>
  <c r="N44" i="3" a="1"/>
  <c r="N44" i="3" s="1"/>
  <c r="N25" i="3" a="1"/>
  <c r="N25" i="3" s="1"/>
  <c r="N32" i="3" a="1"/>
  <c r="N32" i="3" s="1"/>
  <c r="N102" i="3" a="1"/>
  <c r="N102" i="3" s="1"/>
  <c r="N77" i="3" a="1"/>
  <c r="N77" i="3" s="1"/>
  <c r="N62" i="3" a="1"/>
  <c r="N62" i="3" s="1"/>
  <c r="N109" i="3" a="1"/>
  <c r="N109" i="3" s="1"/>
  <c r="N78" i="3" a="1"/>
  <c r="N78" i="3" s="1"/>
  <c r="N61" i="3" a="1"/>
  <c r="N61" i="3" s="1"/>
  <c r="N47" i="3" a="1"/>
  <c r="N47" i="3" s="1"/>
  <c r="N34" i="3" a="1"/>
  <c r="N34" i="3" s="1"/>
  <c r="N37" i="3" a="1"/>
  <c r="N37" i="3" s="1"/>
  <c r="N99" i="3" a="1"/>
  <c r="N99" i="3" s="1"/>
  <c r="N72" i="3" a="1"/>
  <c r="N72" i="3" s="1"/>
  <c r="N59" i="3" a="1"/>
  <c r="N59" i="3" s="1"/>
  <c r="N108" i="3" a="1"/>
  <c r="N108" i="3" s="1"/>
  <c r="N76" i="3" a="1"/>
  <c r="N76" i="3" s="1"/>
  <c r="N60" i="3" a="1"/>
  <c r="N60" i="3" s="1"/>
  <c r="N46" i="3" a="1"/>
  <c r="N46" i="3" s="1"/>
  <c r="N29" i="3" a="1"/>
  <c r="N29" i="3" s="1"/>
  <c r="N36" i="3" a="1"/>
  <c r="N36" i="3" s="1"/>
  <c r="N107" i="3" a="1"/>
  <c r="N107" i="3" s="1"/>
  <c r="N80" i="3" a="1"/>
  <c r="N80" i="3" s="1"/>
  <c r="N65" i="3" a="1"/>
  <c r="N65" i="3" s="1"/>
  <c r="N114" i="3" a="1"/>
  <c r="N114" i="3" s="1"/>
  <c r="N97" i="3" a="1"/>
  <c r="N97" i="3" s="1"/>
  <c r="N68" i="3" a="1"/>
  <c r="N68" i="3" s="1"/>
  <c r="N50" i="3" a="1"/>
  <c r="N50" i="3" s="1"/>
  <c r="N41" i="3" a="1"/>
  <c r="N41" i="3" s="1"/>
  <c r="N39" i="3" a="1"/>
  <c r="N39" i="3" s="1"/>
  <c r="N28" i="3" a="1"/>
  <c r="N28" i="3" s="1"/>
  <c r="N79" i="3" a="1"/>
  <c r="N79" i="3" s="1"/>
  <c r="N64" i="3" a="1"/>
  <c r="N64" i="3" s="1"/>
  <c r="N113" i="3" a="1"/>
  <c r="N113" i="3" s="1"/>
  <c r="N84" i="3" a="1"/>
  <c r="N84" i="3" s="1"/>
  <c r="N63" i="3" a="1"/>
  <c r="N63" i="3" s="1"/>
  <c r="N49" i="3" a="1"/>
  <c r="N49" i="3" s="1"/>
  <c r="N35" i="3" a="1"/>
  <c r="N35" i="3" s="1"/>
  <c r="N38" i="3" a="1"/>
  <c r="N38" i="3" s="1"/>
  <c r="N112" i="3" a="1"/>
  <c r="N112" i="3" s="1"/>
  <c r="N82" i="3" a="1"/>
  <c r="N82" i="3" s="1"/>
  <c r="N67" i="3" a="1"/>
  <c r="N67" i="3" s="1"/>
  <c r="N53" i="3" a="1"/>
  <c r="N53" i="3" s="1"/>
  <c r="N101" i="3" a="1"/>
  <c r="N101" i="3" s="1"/>
  <c r="N73" i="3" a="1"/>
  <c r="N73" i="3" s="1"/>
  <c r="N54" i="3" a="1"/>
  <c r="N54" i="3" s="1"/>
  <c r="N43" i="3" a="1"/>
  <c r="N43" i="3" s="1"/>
  <c r="N48" i="3" a="1"/>
  <c r="N48" i="3" s="1"/>
  <c r="N111" i="3" a="1"/>
  <c r="N111" i="3" s="1"/>
  <c r="N81" i="3" a="1"/>
  <c r="N81" i="3" s="1"/>
  <c r="N66" i="3" a="1"/>
  <c r="N66" i="3" s="1"/>
  <c r="N52" i="3" a="1"/>
  <c r="N52" i="3" s="1"/>
  <c r="N98" i="3" a="1"/>
  <c r="N98" i="3" s="1"/>
  <c r="N71" i="3" a="1"/>
  <c r="N71" i="3" s="1"/>
  <c r="N51" i="3" a="1"/>
  <c r="N51" i="3" s="1"/>
  <c r="N42" i="3" a="1"/>
  <c r="N42" i="3" s="1"/>
  <c r="N40" i="3" a="1"/>
  <c r="N40" i="3" s="1"/>
  <c r="N30" i="3" a="1"/>
  <c r="N30" i="3" s="1"/>
  <c r="N85" i="3" a="1"/>
  <c r="N85" i="3" s="1"/>
  <c r="N70" i="3" a="1"/>
  <c r="N70" i="3" s="1"/>
  <c r="N58" i="3" a="1"/>
  <c r="N58" i="3" s="1"/>
  <c r="N105" i="3" a="1"/>
  <c r="N105" i="3" s="1"/>
  <c r="N75" i="3" a="1"/>
  <c r="N75" i="3" s="1"/>
  <c r="N56" i="3" a="1"/>
  <c r="N56" i="3" s="1"/>
  <c r="N45" i="3" a="1"/>
  <c r="N45" i="3" s="1"/>
  <c r="N26" i="3" a="1"/>
  <c r="N26" i="3" s="1"/>
  <c r="N33" i="3" a="1"/>
  <c r="N33" i="3" s="1"/>
  <c r="N115" i="3" a="1"/>
  <c r="N115" i="3" s="1"/>
  <c r="AJ403" i="3"/>
  <c r="L403" i="3"/>
  <c r="L375" i="3"/>
  <c r="L154" i="3"/>
  <c r="L156" i="3" s="1"/>
  <c r="AN252" i="2"/>
  <c r="J155" i="3" s="1" a="1"/>
  <c r="J155" i="3" s="1"/>
  <c r="CE174" i="2"/>
  <c r="CC174" i="2"/>
  <c r="CE182" i="2"/>
  <c r="CC182" i="2"/>
  <c r="CE172" i="2"/>
  <c r="CC172" i="2"/>
  <c r="CE199" i="2"/>
  <c r="CC199" i="2"/>
  <c r="CE170" i="2"/>
  <c r="CC170" i="2"/>
  <c r="CE184" i="2"/>
  <c r="CC184" i="2"/>
  <c r="BY248" i="2"/>
  <c r="BY252" i="2" s="1"/>
  <c r="AM169" i="2"/>
  <c r="F115" i="3" a="1"/>
  <c r="F115" i="3" s="1"/>
  <c r="E115" i="3" a="1"/>
  <c r="E115" i="3" s="1"/>
  <c r="D115" i="3" a="1"/>
  <c r="D115" i="3" s="1"/>
  <c r="C115" i="3" a="1"/>
  <c r="C115" i="3" s="1"/>
  <c r="B115" i="3" a="1"/>
  <c r="B115" i="3" s="1"/>
  <c r="F114" i="3" a="1"/>
  <c r="F114" i="3" s="1"/>
  <c r="E114" i="3" a="1"/>
  <c r="E114" i="3" s="1"/>
  <c r="D114" i="3" a="1"/>
  <c r="D114" i="3" s="1"/>
  <c r="C114" i="3" a="1"/>
  <c r="C114" i="3" s="1"/>
  <c r="B114" i="3" a="1"/>
  <c r="B114" i="3" s="1"/>
  <c r="F113" i="3" a="1"/>
  <c r="F113" i="3" s="1"/>
  <c r="E113" i="3" a="1"/>
  <c r="E113" i="3" s="1"/>
  <c r="D113" i="3" a="1"/>
  <c r="D113" i="3" s="1"/>
  <c r="C113" i="3" a="1"/>
  <c r="C113" i="3" s="1"/>
  <c r="B113" i="3" a="1"/>
  <c r="B113" i="3" s="1"/>
  <c r="F112" i="3" a="1"/>
  <c r="F112" i="3" s="1"/>
  <c r="E112" i="3" a="1"/>
  <c r="E112" i="3" s="1"/>
  <c r="D112" i="3" a="1"/>
  <c r="D112" i="3" s="1"/>
  <c r="C112" i="3" a="1"/>
  <c r="C112" i="3" s="1"/>
  <c r="B112" i="3" a="1"/>
  <c r="B112" i="3" s="1"/>
  <c r="F111" i="3" a="1"/>
  <c r="F111" i="3" s="1"/>
  <c r="F110" i="3" s="1"/>
  <c r="E111" i="3" a="1"/>
  <c r="E111" i="3" s="1"/>
  <c r="E110" i="3" s="1"/>
  <c r="D111" i="3" a="1"/>
  <c r="D111" i="3" s="1"/>
  <c r="D110" i="3" s="1"/>
  <c r="C111" i="3" a="1"/>
  <c r="C111" i="3" s="1"/>
  <c r="C110" i="3" s="1"/>
  <c r="B111" i="3" a="1"/>
  <c r="B111" i="3" s="1"/>
  <c r="B110" i="3" s="1"/>
  <c r="F109" i="3" a="1"/>
  <c r="F109" i="3" s="1"/>
  <c r="E109" i="3" a="1"/>
  <c r="E109" i="3" s="1"/>
  <c r="D109" i="3" a="1"/>
  <c r="D109" i="3" s="1"/>
  <c r="C109" i="3" a="1"/>
  <c r="C109" i="3" s="1"/>
  <c r="B109" i="3" a="1"/>
  <c r="B109" i="3" s="1"/>
  <c r="F108" i="3" a="1"/>
  <c r="F108" i="3" s="1"/>
  <c r="E108" i="3" a="1"/>
  <c r="E108" i="3" s="1"/>
  <c r="D108" i="3" a="1"/>
  <c r="D108" i="3" s="1"/>
  <c r="C108" i="3" a="1"/>
  <c r="C108" i="3" s="1"/>
  <c r="B108" i="3" a="1"/>
  <c r="B108" i="3" s="1"/>
  <c r="F107" i="3" a="1"/>
  <c r="F107" i="3" s="1"/>
  <c r="F106" i="3" s="1"/>
  <c r="E107" i="3" a="1"/>
  <c r="E107" i="3" s="1"/>
  <c r="E106" i="3" s="1"/>
  <c r="D107" i="3" a="1"/>
  <c r="D107" i="3" s="1"/>
  <c r="D106" i="3" s="1"/>
  <c r="C107" i="3" a="1"/>
  <c r="C107" i="3" s="1"/>
  <c r="C106" i="3" s="1"/>
  <c r="B107" i="3" a="1"/>
  <c r="B107" i="3" s="1"/>
  <c r="B106" i="3" s="1"/>
  <c r="F105" i="3" a="1"/>
  <c r="F105" i="3" s="1"/>
  <c r="E105" i="3" a="1"/>
  <c r="E105" i="3" s="1"/>
  <c r="D105" i="3" a="1"/>
  <c r="D105" i="3" s="1"/>
  <c r="C105" i="3" a="1"/>
  <c r="C105" i="3" s="1"/>
  <c r="B105" i="3" a="1"/>
  <c r="B105" i="3" s="1"/>
  <c r="F104" i="3" a="1"/>
  <c r="F104" i="3" s="1"/>
  <c r="E104" i="3" a="1"/>
  <c r="E104" i="3" s="1"/>
  <c r="D104" i="3" a="1"/>
  <c r="D104" i="3" s="1"/>
  <c r="C104" i="3" a="1"/>
  <c r="C104" i="3" s="1"/>
  <c r="B104" i="3" a="1"/>
  <c r="B104" i="3" s="1"/>
  <c r="F103" i="3" a="1"/>
  <c r="F103" i="3" s="1"/>
  <c r="E103" i="3" a="1"/>
  <c r="E103" i="3" s="1"/>
  <c r="D103" i="3" a="1"/>
  <c r="D103" i="3" s="1"/>
  <c r="C103" i="3" a="1"/>
  <c r="C103" i="3" s="1"/>
  <c r="B103" i="3" a="1"/>
  <c r="B103" i="3" s="1"/>
  <c r="F102" i="3" a="1"/>
  <c r="F102" i="3" s="1"/>
  <c r="E102" i="3" a="1"/>
  <c r="E102" i="3" s="1"/>
  <c r="D102" i="3" a="1"/>
  <c r="D102" i="3" s="1"/>
  <c r="C102" i="3" a="1"/>
  <c r="C102" i="3" s="1"/>
  <c r="B102" i="3" a="1"/>
  <c r="B102" i="3" s="1"/>
  <c r="F101" i="3" a="1"/>
  <c r="F101" i="3" s="1"/>
  <c r="F100" i="3" s="1"/>
  <c r="E101" i="3" a="1"/>
  <c r="E101" i="3" s="1"/>
  <c r="E100" i="3" s="1"/>
  <c r="D101" i="3" a="1"/>
  <c r="D101" i="3" s="1"/>
  <c r="D100" i="3" s="1"/>
  <c r="C101" i="3" a="1"/>
  <c r="C101" i="3" s="1"/>
  <c r="C100" i="3" s="1"/>
  <c r="B101" i="3" a="1"/>
  <c r="B101" i="3" s="1"/>
  <c r="B100" i="3" s="1"/>
  <c r="F99" i="3" a="1"/>
  <c r="F99" i="3" s="1"/>
  <c r="E99" i="3" a="1"/>
  <c r="E99" i="3" s="1"/>
  <c r="D99" i="3" a="1"/>
  <c r="D99" i="3" s="1"/>
  <c r="C99" i="3" a="1"/>
  <c r="C99" i="3" s="1"/>
  <c r="B99" i="3" a="1"/>
  <c r="B99" i="3" s="1"/>
  <c r="F98" i="3" a="1"/>
  <c r="F98" i="3" s="1"/>
  <c r="E98" i="3" a="1"/>
  <c r="E98" i="3" s="1"/>
  <c r="D98" i="3" a="1"/>
  <c r="D98" i="3" s="1"/>
  <c r="C98" i="3" a="1"/>
  <c r="C98" i="3" s="1"/>
  <c r="B98" i="3" a="1"/>
  <c r="B98" i="3" s="1"/>
  <c r="F97" i="3" a="1"/>
  <c r="F97" i="3" s="1"/>
  <c r="F96" i="3" s="1"/>
  <c r="E97" i="3" a="1"/>
  <c r="E97" i="3" s="1"/>
  <c r="E96" i="3" s="1"/>
  <c r="D97" i="3" a="1"/>
  <c r="D97" i="3" s="1"/>
  <c r="D96" i="3" s="1"/>
  <c r="C97" i="3" a="1"/>
  <c r="C97" i="3" s="1"/>
  <c r="C96" i="3" s="1"/>
  <c r="B97" i="3" a="1"/>
  <c r="B97" i="3" s="1"/>
  <c r="B96" i="3" s="1"/>
  <c r="AP232" i="2"/>
  <c r="BZ232" i="2" s="1"/>
  <c r="AK204" i="2"/>
  <c r="P403" i="3" l="1"/>
  <c r="P375" i="3"/>
  <c r="P7" i="3"/>
  <c r="P19" i="3"/>
  <c r="P110" i="3"/>
  <c r="P106" i="3"/>
  <c r="P87" i="3"/>
  <c r="P100" i="3"/>
  <c r="P96" i="3"/>
  <c r="N403" i="3"/>
  <c r="N7" i="3"/>
  <c r="N106" i="3"/>
  <c r="N375" i="3"/>
  <c r="N19" i="3"/>
  <c r="N100" i="3"/>
  <c r="N110" i="3"/>
  <c r="N96" i="3"/>
  <c r="N87" i="3"/>
  <c r="J395" i="3" a="1"/>
  <c r="J395" i="3" s="1"/>
  <c r="AH395" i="3" s="1"/>
  <c r="J401" i="3" a="1"/>
  <c r="J401" i="3" s="1"/>
  <c r="AH401" i="3" s="1"/>
  <c r="J394" i="3" a="1"/>
  <c r="J394" i="3" s="1"/>
  <c r="AH394" i="3" s="1"/>
  <c r="J400" i="3" a="1"/>
  <c r="J400" i="3" s="1"/>
  <c r="AH400" i="3" s="1"/>
  <c r="J393" i="3" a="1"/>
  <c r="J393" i="3" s="1"/>
  <c r="AH393" i="3" s="1"/>
  <c r="J399" i="3" a="1"/>
  <c r="J399" i="3" s="1"/>
  <c r="AH399" i="3" s="1"/>
  <c r="J392" i="3" a="1"/>
  <c r="J392" i="3" s="1"/>
  <c r="AH392" i="3" s="1"/>
  <c r="J398" i="3" a="1"/>
  <c r="J398" i="3" s="1"/>
  <c r="AH398" i="3" s="1"/>
  <c r="J391" i="3" a="1"/>
  <c r="J391" i="3" s="1"/>
  <c r="AH391" i="3" s="1"/>
  <c r="J397" i="3" a="1"/>
  <c r="J397" i="3" s="1"/>
  <c r="AH397" i="3" s="1"/>
  <c r="J390" i="3" a="1"/>
  <c r="J390" i="3" s="1"/>
  <c r="J396" i="3" a="1"/>
  <c r="J396" i="3" s="1"/>
  <c r="AH396" i="3" s="1"/>
  <c r="J402" i="3" a="1"/>
  <c r="J402" i="3" s="1"/>
  <c r="AH402" i="3" s="1"/>
  <c r="J56" i="3" a="1"/>
  <c r="J56" i="3" s="1"/>
  <c r="J41" i="3" a="1"/>
  <c r="J41" i="3" s="1"/>
  <c r="CE232" i="2"/>
  <c r="CC232" i="2"/>
  <c r="CB169" i="2"/>
  <c r="CD169" i="2"/>
  <c r="AM204" i="2"/>
  <c r="D116" i="3"/>
  <c r="F116" i="3"/>
  <c r="C116" i="3"/>
  <c r="E116" i="3"/>
  <c r="B116" i="3"/>
  <c r="AG87" i="3"/>
  <c r="AF87" i="3"/>
  <c r="AE87" i="3"/>
  <c r="AD87" i="3"/>
  <c r="AC87" i="3"/>
  <c r="AB87" i="3"/>
  <c r="AA87" i="3"/>
  <c r="Z87" i="3"/>
  <c r="Y87" i="3"/>
  <c r="X87" i="3"/>
  <c r="W87" i="3"/>
  <c r="V87" i="3"/>
  <c r="U87" i="3"/>
  <c r="T87" i="3"/>
  <c r="S87" i="3"/>
  <c r="R87" i="3"/>
  <c r="P116" i="3" l="1"/>
  <c r="J403" i="3"/>
  <c r="AH390" i="3"/>
  <c r="CB204" i="2"/>
  <c r="CD204" i="2"/>
  <c r="N154" i="3"/>
  <c r="N156" i="3" s="1"/>
  <c r="P154" i="3"/>
  <c r="P156" i="3" s="1"/>
  <c r="R154" i="3"/>
  <c r="R156" i="3" s="1"/>
  <c r="S154" i="3"/>
  <c r="S156" i="3" s="1"/>
  <c r="T154" i="3"/>
  <c r="T156" i="3" s="1"/>
  <c r="U154" i="3"/>
  <c r="U156" i="3" s="1"/>
  <c r="V154" i="3"/>
  <c r="V156" i="3" s="1"/>
  <c r="W154" i="3"/>
  <c r="W156" i="3" s="1"/>
  <c r="X154" i="3"/>
  <c r="X156" i="3" s="1"/>
  <c r="Y154" i="3"/>
  <c r="Y156" i="3" s="1"/>
  <c r="Z154" i="3"/>
  <c r="Z156" i="3" s="1"/>
  <c r="AA154" i="3"/>
  <c r="AA156" i="3" s="1"/>
  <c r="AB154" i="3"/>
  <c r="AB156" i="3" s="1"/>
  <c r="AC154" i="3"/>
  <c r="AC156" i="3" s="1"/>
  <c r="AD154" i="3"/>
  <c r="AD156" i="3" s="1"/>
  <c r="AE154" i="3"/>
  <c r="AE156" i="3" s="1"/>
  <c r="AF154" i="3"/>
  <c r="AF156" i="3" s="1"/>
  <c r="AG154" i="3"/>
  <c r="AG156" i="3" s="1"/>
  <c r="AQ21" i="3"/>
  <c r="AR21" i="3"/>
  <c r="AS21" i="3"/>
  <c r="BN20" i="2"/>
  <c r="BY7" i="2"/>
  <c r="AH108" i="3" s="1" a="1"/>
  <c r="AH108" i="3" s="1"/>
  <c r="BW20" i="2"/>
  <c r="BW21" i="2"/>
  <c r="BW22" i="2"/>
  <c r="BW27" i="2"/>
  <c r="BW28" i="2"/>
  <c r="BW31" i="2"/>
  <c r="BW32" i="2"/>
  <c r="BW34" i="2"/>
  <c r="BW36" i="2"/>
  <c r="BW37" i="2"/>
  <c r="BW38" i="2"/>
  <c r="BW39" i="2"/>
  <c r="BW40" i="2"/>
  <c r="BW41" i="2"/>
  <c r="BW42" i="2"/>
  <c r="BW43" i="2"/>
  <c r="BW45" i="2"/>
  <c r="BW47" i="2"/>
  <c r="BW49" i="2"/>
  <c r="BW51" i="2"/>
  <c r="BW52" i="2"/>
  <c r="BW54" i="2"/>
  <c r="BW55" i="2"/>
  <c r="BW56" i="2"/>
  <c r="BW57" i="2"/>
  <c r="BW58" i="2"/>
  <c r="BW59" i="2"/>
  <c r="BW60" i="2"/>
  <c r="BW62" i="2"/>
  <c r="BW63" i="2"/>
  <c r="BW64" i="2"/>
  <c r="BW66" i="2"/>
  <c r="BW72" i="2"/>
  <c r="BW74" i="2"/>
  <c r="BW250" i="2"/>
  <c r="BW78" i="2"/>
  <c r="BW82" i="2"/>
  <c r="BW85" i="2"/>
  <c r="BW86" i="2"/>
  <c r="BW87" i="2"/>
  <c r="BW88" i="2"/>
  <c r="BW92" i="2"/>
  <c r="BW93" i="2"/>
  <c r="BW94" i="2"/>
  <c r="BW95" i="2"/>
  <c r="BW98" i="2"/>
  <c r="BW99" i="2"/>
  <c r="BW100" i="2"/>
  <c r="BW104" i="2"/>
  <c r="BW107" i="2"/>
  <c r="BW120" i="2"/>
  <c r="BW121" i="2"/>
  <c r="BW122" i="2"/>
  <c r="BW123" i="2"/>
  <c r="BW124" i="2"/>
  <c r="BW130" i="2"/>
  <c r="BW131" i="2"/>
  <c r="BW132" i="2"/>
  <c r="BW133" i="2"/>
  <c r="BW134" i="2"/>
  <c r="BW135" i="2"/>
  <c r="BW140" i="2"/>
  <c r="BW141" i="2"/>
  <c r="BW142" i="2"/>
  <c r="BW143" i="2"/>
  <c r="BW144" i="2"/>
  <c r="BW145" i="2"/>
  <c r="BW146" i="2"/>
  <c r="BW147" i="2"/>
  <c r="BW149" i="2"/>
  <c r="BW151" i="2"/>
  <c r="BW153" i="2"/>
  <c r="BW155" i="2"/>
  <c r="BW156" i="2"/>
  <c r="BW158" i="2"/>
  <c r="BW159" i="2"/>
  <c r="BW160" i="2"/>
  <c r="BW165" i="2"/>
  <c r="BW166" i="2" s="1"/>
  <c r="BW169" i="2"/>
  <c r="BW201" i="2" s="1"/>
  <c r="BW204" i="2"/>
  <c r="BW205" i="2"/>
  <c r="BW207" i="2"/>
  <c r="BW211" i="2"/>
  <c r="BW212" i="2"/>
  <c r="BW220" i="2"/>
  <c r="BW221" i="2"/>
  <c r="BW222" i="2"/>
  <c r="BW223" i="2"/>
  <c r="BW218" i="2"/>
  <c r="BW241" i="2"/>
  <c r="BW242" i="2"/>
  <c r="BW243" i="2"/>
  <c r="BW245" i="2"/>
  <c r="BW219" i="2"/>
  <c r="BW7" i="2"/>
  <c r="BW17" i="2" s="1"/>
  <c r="BT20" i="2"/>
  <c r="BT21" i="2"/>
  <c r="BT22" i="2"/>
  <c r="BT27" i="2"/>
  <c r="BT28" i="2"/>
  <c r="BT31" i="2"/>
  <c r="BT32" i="2"/>
  <c r="BT34" i="2"/>
  <c r="BT36" i="2"/>
  <c r="BT37" i="2"/>
  <c r="BT38" i="2"/>
  <c r="BT39" i="2"/>
  <c r="BT40" i="2"/>
  <c r="BT41" i="2"/>
  <c r="BT42" i="2"/>
  <c r="BT43" i="2"/>
  <c r="BT45" i="2"/>
  <c r="BT47" i="2"/>
  <c r="BT49" i="2"/>
  <c r="BT51" i="2"/>
  <c r="BT52" i="2"/>
  <c r="BT54" i="2"/>
  <c r="BT55" i="2"/>
  <c r="BT56" i="2"/>
  <c r="BT57" i="2"/>
  <c r="BT58" i="2"/>
  <c r="BT59" i="2"/>
  <c r="BT60" i="2"/>
  <c r="BT62" i="2"/>
  <c r="BT63" i="2"/>
  <c r="BT64" i="2"/>
  <c r="BT66" i="2"/>
  <c r="BT72" i="2"/>
  <c r="BT74" i="2"/>
  <c r="BT250" i="2"/>
  <c r="BT78" i="2"/>
  <c r="BT82" i="2"/>
  <c r="BT85" i="2"/>
  <c r="BT86" i="2"/>
  <c r="BT87" i="2"/>
  <c r="BT88" i="2"/>
  <c r="BT92" i="2"/>
  <c r="BT93" i="2"/>
  <c r="BT94" i="2"/>
  <c r="BT95" i="2"/>
  <c r="BT98" i="2"/>
  <c r="BT99" i="2"/>
  <c r="BT100" i="2"/>
  <c r="BT104" i="2"/>
  <c r="BT107" i="2"/>
  <c r="BT120" i="2"/>
  <c r="BT121" i="2"/>
  <c r="BT122" i="2"/>
  <c r="BT123" i="2"/>
  <c r="BT124" i="2"/>
  <c r="BT130" i="2"/>
  <c r="BT131" i="2"/>
  <c r="BT132" i="2"/>
  <c r="BT133" i="2"/>
  <c r="BT134" i="2"/>
  <c r="BT135" i="2"/>
  <c r="BT140" i="2"/>
  <c r="BT141" i="2"/>
  <c r="BT142" i="2"/>
  <c r="BT143" i="2"/>
  <c r="BT144" i="2"/>
  <c r="BT145" i="2"/>
  <c r="BT146" i="2"/>
  <c r="BT147" i="2"/>
  <c r="BT149" i="2"/>
  <c r="BT151" i="2"/>
  <c r="BT153" i="2"/>
  <c r="BT155" i="2"/>
  <c r="BT156" i="2"/>
  <c r="BT158" i="2"/>
  <c r="BT159" i="2"/>
  <c r="BT160" i="2"/>
  <c r="BT165" i="2"/>
  <c r="BT166" i="2" s="1"/>
  <c r="BT169" i="2"/>
  <c r="BT201" i="2" s="1"/>
  <c r="BT204" i="2"/>
  <c r="BT205" i="2"/>
  <c r="BT207" i="2"/>
  <c r="BT211" i="2"/>
  <c r="BT212" i="2"/>
  <c r="BT220" i="2"/>
  <c r="BT221" i="2"/>
  <c r="BT222" i="2"/>
  <c r="BT223" i="2"/>
  <c r="BT218" i="2"/>
  <c r="BT242" i="2"/>
  <c r="BT243" i="2"/>
  <c r="BT245" i="2"/>
  <c r="BT219" i="2"/>
  <c r="BT7" i="2"/>
  <c r="BT17" i="2" s="1"/>
  <c r="BQ20" i="2"/>
  <c r="BQ21" i="2"/>
  <c r="BQ22" i="2"/>
  <c r="BQ27" i="2"/>
  <c r="BQ28" i="2"/>
  <c r="BQ31" i="2"/>
  <c r="BQ32" i="2"/>
  <c r="BQ34" i="2"/>
  <c r="BQ36" i="2"/>
  <c r="BQ37" i="2"/>
  <c r="BQ38" i="2"/>
  <c r="BQ39" i="2"/>
  <c r="BQ40" i="2"/>
  <c r="BQ41" i="2"/>
  <c r="BQ42" i="2"/>
  <c r="BQ43" i="2"/>
  <c r="BQ45" i="2"/>
  <c r="BQ47" i="2"/>
  <c r="BQ49" i="2"/>
  <c r="BQ51" i="2"/>
  <c r="BQ52" i="2"/>
  <c r="BQ54" i="2"/>
  <c r="BQ55" i="2"/>
  <c r="BQ56" i="2"/>
  <c r="BQ57" i="2"/>
  <c r="BQ58" i="2"/>
  <c r="BQ59" i="2"/>
  <c r="BQ60" i="2"/>
  <c r="BQ62" i="2"/>
  <c r="BQ63" i="2"/>
  <c r="BQ64" i="2"/>
  <c r="BQ66" i="2"/>
  <c r="BQ72" i="2"/>
  <c r="BQ74" i="2"/>
  <c r="BQ250" i="2"/>
  <c r="BQ78" i="2"/>
  <c r="BQ82" i="2"/>
  <c r="BQ85" i="2"/>
  <c r="BQ86" i="2"/>
  <c r="BQ87" i="2"/>
  <c r="BQ88" i="2"/>
  <c r="BQ92" i="2"/>
  <c r="BQ93" i="2"/>
  <c r="BQ94" i="2"/>
  <c r="BQ95" i="2"/>
  <c r="BQ98" i="2"/>
  <c r="BQ99" i="2"/>
  <c r="BQ100" i="2"/>
  <c r="BQ104" i="2"/>
  <c r="BQ107" i="2"/>
  <c r="BQ120" i="2"/>
  <c r="BQ121" i="2"/>
  <c r="BQ122" i="2"/>
  <c r="BQ123" i="2"/>
  <c r="BQ124" i="2"/>
  <c r="BQ130" i="2"/>
  <c r="BQ131" i="2"/>
  <c r="BQ132" i="2"/>
  <c r="BQ133" i="2"/>
  <c r="BQ134" i="2"/>
  <c r="BQ135" i="2"/>
  <c r="BQ140" i="2"/>
  <c r="BQ141" i="2"/>
  <c r="BQ142" i="2"/>
  <c r="BQ143" i="2"/>
  <c r="BQ144" i="2"/>
  <c r="BQ145" i="2"/>
  <c r="BQ146" i="2"/>
  <c r="BQ147" i="2"/>
  <c r="BQ149" i="2"/>
  <c r="BQ151" i="2"/>
  <c r="BQ153" i="2"/>
  <c r="BQ155" i="2"/>
  <c r="BQ156" i="2"/>
  <c r="BQ158" i="2"/>
  <c r="BQ159" i="2"/>
  <c r="BQ160" i="2"/>
  <c r="BQ165" i="2"/>
  <c r="BQ166" i="2" s="1"/>
  <c r="BQ169" i="2"/>
  <c r="BQ201" i="2" s="1"/>
  <c r="BQ204" i="2"/>
  <c r="BQ205" i="2"/>
  <c r="BQ207" i="2"/>
  <c r="BQ211" i="2"/>
  <c r="BQ212" i="2"/>
  <c r="BQ220" i="2"/>
  <c r="BQ221" i="2"/>
  <c r="BQ222" i="2"/>
  <c r="BQ223" i="2"/>
  <c r="BQ218" i="2"/>
  <c r="BQ242" i="2"/>
  <c r="BQ243" i="2"/>
  <c r="BQ245" i="2"/>
  <c r="BQ219" i="2"/>
  <c r="BQ7" i="2"/>
  <c r="BQ17" i="2" s="1"/>
  <c r="BN21" i="2"/>
  <c r="BN22" i="2"/>
  <c r="BN27" i="2"/>
  <c r="BN28" i="2"/>
  <c r="BN31" i="2"/>
  <c r="BN32" i="2"/>
  <c r="BN34" i="2"/>
  <c r="BN36" i="2"/>
  <c r="BN37" i="2"/>
  <c r="BN38" i="2"/>
  <c r="BN39" i="2"/>
  <c r="BN40" i="2"/>
  <c r="BN41" i="2"/>
  <c r="BN42" i="2"/>
  <c r="BN43" i="2"/>
  <c r="BN45" i="2"/>
  <c r="BN47" i="2"/>
  <c r="BN49" i="2"/>
  <c r="BN51" i="2"/>
  <c r="BN52" i="2"/>
  <c r="BN54" i="2"/>
  <c r="BN55" i="2"/>
  <c r="BN56" i="2"/>
  <c r="BN57" i="2"/>
  <c r="BN58" i="2"/>
  <c r="BN59" i="2"/>
  <c r="BN60" i="2"/>
  <c r="BN62" i="2"/>
  <c r="BN63" i="2"/>
  <c r="BN64" i="2"/>
  <c r="BN66" i="2"/>
  <c r="BN72" i="2"/>
  <c r="BN74" i="2"/>
  <c r="BN250" i="2"/>
  <c r="BN78" i="2"/>
  <c r="BN82" i="2"/>
  <c r="BN85" i="2"/>
  <c r="BN86" i="2"/>
  <c r="BN87" i="2"/>
  <c r="BN88" i="2"/>
  <c r="BN92" i="2"/>
  <c r="BN93" i="2"/>
  <c r="BN94" i="2"/>
  <c r="BN95" i="2"/>
  <c r="BN98" i="2"/>
  <c r="BN99" i="2"/>
  <c r="BN100" i="2"/>
  <c r="BN104" i="2"/>
  <c r="BN107" i="2"/>
  <c r="BN120" i="2"/>
  <c r="BN121" i="2"/>
  <c r="BN122" i="2"/>
  <c r="BN123" i="2"/>
  <c r="BN124" i="2"/>
  <c r="BN130" i="2"/>
  <c r="BN131" i="2"/>
  <c r="BN132" i="2"/>
  <c r="BN133" i="2"/>
  <c r="BN134" i="2"/>
  <c r="BN135" i="2"/>
  <c r="BN140" i="2"/>
  <c r="BN141" i="2"/>
  <c r="BN142" i="2"/>
  <c r="BN143" i="2"/>
  <c r="BN144" i="2"/>
  <c r="BN145" i="2"/>
  <c r="BN146" i="2"/>
  <c r="BN147" i="2"/>
  <c r="BN149" i="2"/>
  <c r="BN151" i="2"/>
  <c r="BN153" i="2"/>
  <c r="BN155" i="2"/>
  <c r="BN156" i="2"/>
  <c r="BN158" i="2"/>
  <c r="BN159" i="2"/>
  <c r="BN160" i="2"/>
  <c r="BN165" i="2"/>
  <c r="BN166" i="2" s="1"/>
  <c r="BN169" i="2"/>
  <c r="BN201" i="2" s="1"/>
  <c r="BN204" i="2"/>
  <c r="BN205" i="2"/>
  <c r="BN207" i="2"/>
  <c r="BN211" i="2"/>
  <c r="BN212" i="2"/>
  <c r="BN220" i="2"/>
  <c r="BN221" i="2"/>
  <c r="BN222" i="2"/>
  <c r="BN223" i="2"/>
  <c r="BN218" i="2"/>
  <c r="BN242" i="2"/>
  <c r="BN243" i="2"/>
  <c r="BN245" i="2"/>
  <c r="BN219" i="2"/>
  <c r="BN7" i="2"/>
  <c r="BN17" i="2" s="1"/>
  <c r="BK20" i="2"/>
  <c r="BK21" i="2"/>
  <c r="BK22" i="2"/>
  <c r="BK27" i="2"/>
  <c r="BK28" i="2"/>
  <c r="BK31" i="2"/>
  <c r="BK32" i="2"/>
  <c r="BK34" i="2"/>
  <c r="BK36" i="2"/>
  <c r="BK37" i="2"/>
  <c r="BK38" i="2"/>
  <c r="BK39" i="2"/>
  <c r="BK40" i="2"/>
  <c r="BK41" i="2"/>
  <c r="BK42" i="2"/>
  <c r="BK43" i="2"/>
  <c r="BK45" i="2"/>
  <c r="BK47" i="2"/>
  <c r="BK49" i="2"/>
  <c r="BK51" i="2"/>
  <c r="BK52" i="2"/>
  <c r="BK54" i="2"/>
  <c r="BK55" i="2"/>
  <c r="BK56" i="2"/>
  <c r="BK57" i="2"/>
  <c r="BK58" i="2"/>
  <c r="BK59" i="2"/>
  <c r="BK60" i="2"/>
  <c r="BK62" i="2"/>
  <c r="BK63" i="2"/>
  <c r="BK64" i="2"/>
  <c r="BK66" i="2"/>
  <c r="BK72" i="2"/>
  <c r="BK74" i="2"/>
  <c r="BK250" i="2"/>
  <c r="BK78" i="2"/>
  <c r="BK82" i="2"/>
  <c r="BK85" i="2"/>
  <c r="BK86" i="2"/>
  <c r="BK87" i="2"/>
  <c r="BK88" i="2"/>
  <c r="BK92" i="2"/>
  <c r="BK93" i="2"/>
  <c r="BK94" i="2"/>
  <c r="BK95" i="2"/>
  <c r="BK98" i="2"/>
  <c r="BK99" i="2"/>
  <c r="BK100" i="2"/>
  <c r="BK104" i="2"/>
  <c r="BK107" i="2"/>
  <c r="BK120" i="2"/>
  <c r="BK121" i="2"/>
  <c r="BK122" i="2"/>
  <c r="BK123" i="2"/>
  <c r="BK124" i="2"/>
  <c r="BK130" i="2"/>
  <c r="BK131" i="2"/>
  <c r="BK132" i="2"/>
  <c r="BK133" i="2"/>
  <c r="BK134" i="2"/>
  <c r="BK135" i="2"/>
  <c r="BK140" i="2"/>
  <c r="BK141" i="2"/>
  <c r="BK142" i="2"/>
  <c r="BK143" i="2"/>
  <c r="BK144" i="2"/>
  <c r="BK145" i="2"/>
  <c r="BK146" i="2"/>
  <c r="BK147" i="2"/>
  <c r="BK149" i="2"/>
  <c r="BK151" i="2"/>
  <c r="BK153" i="2"/>
  <c r="BK155" i="2"/>
  <c r="BK156" i="2"/>
  <c r="BK158" i="2"/>
  <c r="BK159" i="2"/>
  <c r="BK160" i="2"/>
  <c r="BK165" i="2"/>
  <c r="BK166" i="2" s="1"/>
  <c r="BK169" i="2"/>
  <c r="BK201" i="2" s="1"/>
  <c r="BK204" i="2"/>
  <c r="BK205" i="2"/>
  <c r="BK207" i="2"/>
  <c r="BK211" i="2"/>
  <c r="BK212" i="2"/>
  <c r="BK220" i="2"/>
  <c r="BK221" i="2"/>
  <c r="BK222" i="2"/>
  <c r="BK223" i="2"/>
  <c r="BK218" i="2"/>
  <c r="BK242" i="2"/>
  <c r="BK243" i="2"/>
  <c r="BK245" i="2"/>
  <c r="BK219" i="2"/>
  <c r="BK7" i="2"/>
  <c r="BK17" i="2" s="1"/>
  <c r="BH20" i="2"/>
  <c r="BH21" i="2"/>
  <c r="BH22" i="2"/>
  <c r="BH27" i="2"/>
  <c r="BH28" i="2"/>
  <c r="BH31" i="2"/>
  <c r="BH32" i="2"/>
  <c r="BH34" i="2"/>
  <c r="BH36" i="2"/>
  <c r="BH37" i="2"/>
  <c r="BH38" i="2"/>
  <c r="BH39" i="2"/>
  <c r="BH40" i="2"/>
  <c r="BH41" i="2"/>
  <c r="BH42" i="2"/>
  <c r="BH43" i="2"/>
  <c r="BH45" i="2"/>
  <c r="BH47" i="2"/>
  <c r="BH49" i="2"/>
  <c r="BH51" i="2"/>
  <c r="BH52" i="2"/>
  <c r="BH54" i="2"/>
  <c r="BH55" i="2"/>
  <c r="BH56" i="2"/>
  <c r="BH57" i="2"/>
  <c r="BH58" i="2"/>
  <c r="BH59" i="2"/>
  <c r="BH60" i="2"/>
  <c r="BH62" i="2"/>
  <c r="BH63" i="2"/>
  <c r="BH64" i="2"/>
  <c r="BH66" i="2"/>
  <c r="BH72" i="2"/>
  <c r="BH74" i="2"/>
  <c r="BH250" i="2"/>
  <c r="BH78" i="2"/>
  <c r="BH82" i="2"/>
  <c r="BH85" i="2"/>
  <c r="BH86" i="2"/>
  <c r="BH87" i="2"/>
  <c r="BH88" i="2"/>
  <c r="BH92" i="2"/>
  <c r="BH93" i="2"/>
  <c r="BH94" i="2"/>
  <c r="BH95" i="2"/>
  <c r="BH98" i="2"/>
  <c r="BH99" i="2"/>
  <c r="BH100" i="2"/>
  <c r="BH104" i="2"/>
  <c r="BH107" i="2"/>
  <c r="BH120" i="2"/>
  <c r="BH121" i="2"/>
  <c r="BH122" i="2"/>
  <c r="BH123" i="2"/>
  <c r="BH124" i="2"/>
  <c r="BH130" i="2"/>
  <c r="BH131" i="2"/>
  <c r="BH132" i="2"/>
  <c r="BH133" i="2"/>
  <c r="BH134" i="2"/>
  <c r="BH135" i="2"/>
  <c r="BH140" i="2"/>
  <c r="BH141" i="2"/>
  <c r="BH142" i="2"/>
  <c r="BH143" i="2"/>
  <c r="BH144" i="2"/>
  <c r="BH145" i="2"/>
  <c r="BH146" i="2"/>
  <c r="BH147" i="2"/>
  <c r="BH149" i="2"/>
  <c r="BH151" i="2"/>
  <c r="BH153" i="2"/>
  <c r="BH155" i="2"/>
  <c r="BH156" i="2"/>
  <c r="BH158" i="2"/>
  <c r="BH159" i="2"/>
  <c r="BH160" i="2"/>
  <c r="BH165" i="2"/>
  <c r="BH166" i="2" s="1"/>
  <c r="BH169" i="2"/>
  <c r="BH201" i="2" s="1"/>
  <c r="BH204" i="2"/>
  <c r="BH205" i="2"/>
  <c r="BH207" i="2"/>
  <c r="BH211" i="2"/>
  <c r="BH212" i="2"/>
  <c r="BH220" i="2"/>
  <c r="BH221" i="2"/>
  <c r="BH222" i="2"/>
  <c r="BH223" i="2"/>
  <c r="BH218" i="2"/>
  <c r="BH242" i="2"/>
  <c r="BH243" i="2"/>
  <c r="BH245" i="2"/>
  <c r="BH219" i="2"/>
  <c r="BH7" i="2"/>
  <c r="BH17" i="2" s="1"/>
  <c r="BE20" i="2"/>
  <c r="BE21" i="2"/>
  <c r="BE22" i="2"/>
  <c r="BE27" i="2"/>
  <c r="BE28" i="2"/>
  <c r="BE31" i="2"/>
  <c r="BE32" i="2"/>
  <c r="BE34" i="2"/>
  <c r="BE36" i="2"/>
  <c r="BE37" i="2"/>
  <c r="BE38" i="2"/>
  <c r="BE39" i="2"/>
  <c r="BE40" i="2"/>
  <c r="BE41" i="2"/>
  <c r="BE42" i="2"/>
  <c r="BE43" i="2"/>
  <c r="BE45" i="2"/>
  <c r="BE47" i="2"/>
  <c r="BE49" i="2"/>
  <c r="BE51" i="2"/>
  <c r="BE52" i="2"/>
  <c r="BE54" i="2"/>
  <c r="BE55" i="2"/>
  <c r="BE56" i="2"/>
  <c r="BE57" i="2"/>
  <c r="BE58" i="2"/>
  <c r="BE59" i="2"/>
  <c r="BE60" i="2"/>
  <c r="BE62" i="2"/>
  <c r="BE63" i="2"/>
  <c r="BE64" i="2"/>
  <c r="BE66" i="2"/>
  <c r="BE72" i="2"/>
  <c r="BE74" i="2"/>
  <c r="BE250" i="2"/>
  <c r="BE78" i="2"/>
  <c r="BE82" i="2"/>
  <c r="BE85" i="2"/>
  <c r="BE86" i="2"/>
  <c r="BE87" i="2"/>
  <c r="BE88" i="2"/>
  <c r="BE92" i="2"/>
  <c r="BE93" i="2"/>
  <c r="BE94" i="2"/>
  <c r="BE95" i="2"/>
  <c r="BE98" i="2"/>
  <c r="BE99" i="2"/>
  <c r="BE100" i="2"/>
  <c r="BE104" i="2"/>
  <c r="BE107" i="2"/>
  <c r="BE120" i="2"/>
  <c r="BE121" i="2"/>
  <c r="BE122" i="2"/>
  <c r="BE123" i="2"/>
  <c r="BE124" i="2"/>
  <c r="BE130" i="2"/>
  <c r="BE131" i="2"/>
  <c r="BE132" i="2"/>
  <c r="BE133" i="2"/>
  <c r="BE134" i="2"/>
  <c r="BE135" i="2"/>
  <c r="BE140" i="2"/>
  <c r="BE141" i="2"/>
  <c r="BE142" i="2"/>
  <c r="BE143" i="2"/>
  <c r="BE144" i="2"/>
  <c r="BE145" i="2"/>
  <c r="BE146" i="2"/>
  <c r="BE147" i="2"/>
  <c r="BE149" i="2"/>
  <c r="BE151" i="2"/>
  <c r="BE153" i="2"/>
  <c r="BE155" i="2"/>
  <c r="BE156" i="2"/>
  <c r="BE158" i="2"/>
  <c r="BE159" i="2"/>
  <c r="BE160" i="2"/>
  <c r="BE165" i="2"/>
  <c r="BE166" i="2" s="1"/>
  <c r="BE169" i="2"/>
  <c r="BE201" i="2" s="1"/>
  <c r="BE204" i="2"/>
  <c r="BE205" i="2"/>
  <c r="BE207" i="2"/>
  <c r="BE211" i="2"/>
  <c r="BE212" i="2"/>
  <c r="BE220" i="2"/>
  <c r="BE221" i="2"/>
  <c r="BE222" i="2"/>
  <c r="BE223" i="2"/>
  <c r="BE218" i="2"/>
  <c r="BE242" i="2"/>
  <c r="BE243" i="2"/>
  <c r="BE245" i="2"/>
  <c r="BE219" i="2"/>
  <c r="BE7" i="2"/>
  <c r="BE17" i="2" s="1"/>
  <c r="BB20" i="2"/>
  <c r="BB21" i="2"/>
  <c r="BB22" i="2"/>
  <c r="BB27" i="2"/>
  <c r="BB28" i="2"/>
  <c r="BB31" i="2"/>
  <c r="BB32" i="2"/>
  <c r="BB34" i="2"/>
  <c r="BB36" i="2"/>
  <c r="BB37" i="2"/>
  <c r="BB38" i="2"/>
  <c r="BB39" i="2"/>
  <c r="BB40" i="2"/>
  <c r="BB41" i="2"/>
  <c r="BB42" i="2"/>
  <c r="BB43" i="2"/>
  <c r="BB45" i="2"/>
  <c r="BB47" i="2"/>
  <c r="BB49" i="2"/>
  <c r="BB51" i="2"/>
  <c r="BB52" i="2"/>
  <c r="BB54" i="2"/>
  <c r="BB55" i="2"/>
  <c r="BB56" i="2"/>
  <c r="BB57" i="2"/>
  <c r="BB58" i="2"/>
  <c r="BB59" i="2"/>
  <c r="BB60" i="2"/>
  <c r="BB62" i="2"/>
  <c r="BB63" i="2"/>
  <c r="BB64" i="2"/>
  <c r="BB66" i="2"/>
  <c r="BB72" i="2"/>
  <c r="BB74" i="2"/>
  <c r="BB250" i="2"/>
  <c r="BB78" i="2"/>
  <c r="BB82" i="2"/>
  <c r="BB85" i="2"/>
  <c r="BB86" i="2"/>
  <c r="BB87" i="2"/>
  <c r="BB88" i="2"/>
  <c r="BB92" i="2"/>
  <c r="BB93" i="2"/>
  <c r="BB94" i="2"/>
  <c r="BB95" i="2"/>
  <c r="BB98" i="2"/>
  <c r="BB99" i="2"/>
  <c r="BB100" i="2"/>
  <c r="BB104" i="2"/>
  <c r="BB107" i="2"/>
  <c r="BB120" i="2"/>
  <c r="BB121" i="2"/>
  <c r="BB122" i="2"/>
  <c r="BB123" i="2"/>
  <c r="BB124" i="2"/>
  <c r="BB130" i="2"/>
  <c r="BB131" i="2"/>
  <c r="BB132" i="2"/>
  <c r="BB133" i="2"/>
  <c r="BB134" i="2"/>
  <c r="BB135" i="2"/>
  <c r="BB140" i="2"/>
  <c r="BB141" i="2"/>
  <c r="BB142" i="2"/>
  <c r="BB143" i="2"/>
  <c r="BB144" i="2"/>
  <c r="BB145" i="2"/>
  <c r="BB146" i="2"/>
  <c r="BB147" i="2"/>
  <c r="BB149" i="2"/>
  <c r="BB151" i="2"/>
  <c r="BB153" i="2"/>
  <c r="BB155" i="2"/>
  <c r="BB156" i="2"/>
  <c r="BB158" i="2"/>
  <c r="BB159" i="2"/>
  <c r="BB160" i="2"/>
  <c r="BB165" i="2"/>
  <c r="BB166" i="2" s="1"/>
  <c r="BB169" i="2"/>
  <c r="BB201" i="2" s="1"/>
  <c r="BB204" i="2"/>
  <c r="BB205" i="2"/>
  <c r="BB207" i="2"/>
  <c r="BB211" i="2"/>
  <c r="BB212" i="2"/>
  <c r="BB220" i="2"/>
  <c r="BB221" i="2"/>
  <c r="BB222" i="2"/>
  <c r="BB231" i="2"/>
  <c r="BB229" i="2"/>
  <c r="BB223" i="2"/>
  <c r="BB228" i="2"/>
  <c r="BB218" i="2"/>
  <c r="BB242" i="2"/>
  <c r="BB243" i="2"/>
  <c r="BB245" i="2"/>
  <c r="BB230" i="2"/>
  <c r="BB219" i="2"/>
  <c r="BB7" i="2"/>
  <c r="BB17" i="2" s="1"/>
  <c r="AY7" i="2"/>
  <c r="AV20" i="2"/>
  <c r="AV27" i="2"/>
  <c r="AV72" i="2"/>
  <c r="AV250" i="2"/>
  <c r="AV82" i="2"/>
  <c r="AV104" i="2"/>
  <c r="AV151" i="2"/>
  <c r="AV165" i="2"/>
  <c r="AV166" i="2" s="1"/>
  <c r="AV169" i="2"/>
  <c r="AV201" i="2" s="1"/>
  <c r="AV204" i="2"/>
  <c r="AV7" i="2"/>
  <c r="AS20" i="2"/>
  <c r="AS27" i="2"/>
  <c r="AS72" i="2"/>
  <c r="AS250" i="2"/>
  <c r="AS82" i="2"/>
  <c r="AS104" i="2"/>
  <c r="AS151" i="2"/>
  <c r="AS165" i="2"/>
  <c r="AS166" i="2" s="1"/>
  <c r="AS169" i="2"/>
  <c r="AS201" i="2" s="1"/>
  <c r="AS204" i="2"/>
  <c r="AS7" i="2"/>
  <c r="AP20" i="2"/>
  <c r="AP21" i="2"/>
  <c r="AP22" i="2"/>
  <c r="AP27" i="2"/>
  <c r="AP28" i="2"/>
  <c r="AP32" i="2"/>
  <c r="AP34" i="2"/>
  <c r="AP36" i="2"/>
  <c r="AP38" i="2"/>
  <c r="AP39" i="2"/>
  <c r="AP40" i="2"/>
  <c r="AP41" i="2"/>
  <c r="AP42" i="2"/>
  <c r="AP43" i="2"/>
  <c r="AP45" i="2"/>
  <c r="AP47" i="2"/>
  <c r="AP49" i="2"/>
  <c r="AP51" i="2"/>
  <c r="AP52" i="2"/>
  <c r="AP54" i="2"/>
  <c r="AP55" i="2"/>
  <c r="AP56" i="2"/>
  <c r="AP57" i="2"/>
  <c r="AP58" i="2"/>
  <c r="AP59" i="2"/>
  <c r="AP60" i="2"/>
  <c r="AP62" i="2"/>
  <c r="AP63" i="2"/>
  <c r="AP64" i="2"/>
  <c r="AP66" i="2"/>
  <c r="AP72" i="2"/>
  <c r="AP74" i="2"/>
  <c r="AP250" i="2"/>
  <c r="AP78" i="2"/>
  <c r="AP82" i="2"/>
  <c r="AP85" i="2"/>
  <c r="AP86" i="2"/>
  <c r="AP87" i="2"/>
  <c r="AP88" i="2"/>
  <c r="AP92" i="2"/>
  <c r="AP93" i="2"/>
  <c r="AP94" i="2"/>
  <c r="AP95" i="2"/>
  <c r="AP98" i="2"/>
  <c r="AP99" i="2"/>
  <c r="AP100" i="2"/>
  <c r="AP104" i="2"/>
  <c r="AP107" i="2"/>
  <c r="AP120" i="2"/>
  <c r="AP121" i="2"/>
  <c r="AP122" i="2"/>
  <c r="AP123" i="2"/>
  <c r="AP130" i="2"/>
  <c r="AP131" i="2"/>
  <c r="AP132" i="2"/>
  <c r="AP133" i="2"/>
  <c r="AP134" i="2"/>
  <c r="AP135" i="2"/>
  <c r="AP140" i="2"/>
  <c r="AP141" i="2"/>
  <c r="AP142" i="2"/>
  <c r="AP143" i="2"/>
  <c r="AP144" i="2"/>
  <c r="AP145" i="2"/>
  <c r="AP146" i="2"/>
  <c r="AP147" i="2"/>
  <c r="AP151" i="2"/>
  <c r="AP153" i="2"/>
  <c r="AP155" i="2"/>
  <c r="AP156" i="2"/>
  <c r="AP158" i="2"/>
  <c r="AP159" i="2"/>
  <c r="AP160" i="2"/>
  <c r="AP165" i="2"/>
  <c r="AP166" i="2" s="1"/>
  <c r="AP169" i="2"/>
  <c r="AP181" i="2"/>
  <c r="BZ181" i="2" s="1"/>
  <c r="AP187" i="2"/>
  <c r="BZ187" i="2" s="1"/>
  <c r="AP188" i="2"/>
  <c r="BZ188" i="2" s="1"/>
  <c r="AP189" i="2"/>
  <c r="BZ189" i="2" s="1"/>
  <c r="AP190" i="2"/>
  <c r="BZ190" i="2" s="1"/>
  <c r="AP191" i="2"/>
  <c r="BZ191" i="2" s="1"/>
  <c r="AP192" i="2"/>
  <c r="BZ192" i="2" s="1"/>
  <c r="AP193" i="2"/>
  <c r="BZ193" i="2" s="1"/>
  <c r="AP194" i="2"/>
  <c r="BZ194" i="2" s="1"/>
  <c r="AP195" i="2"/>
  <c r="BZ195" i="2" s="1"/>
  <c r="AP196" i="2"/>
  <c r="BZ196" i="2" s="1"/>
  <c r="AP197" i="2"/>
  <c r="BZ197" i="2" s="1"/>
  <c r="AP173" i="2"/>
  <c r="BZ173" i="2" s="1"/>
  <c r="AP204" i="2"/>
  <c r="AP205" i="2"/>
  <c r="AP207" i="2"/>
  <c r="AP220" i="2"/>
  <c r="AP221" i="2"/>
  <c r="AP222" i="2"/>
  <c r="AP231" i="2"/>
  <c r="AP229" i="2"/>
  <c r="AP223" i="2"/>
  <c r="AP228" i="2"/>
  <c r="AP227" i="2"/>
  <c r="AP241" i="2"/>
  <c r="AP242" i="2"/>
  <c r="AP243" i="2"/>
  <c r="AP245" i="2"/>
  <c r="AP230" i="2"/>
  <c r="AP219" i="2"/>
  <c r="BZ245" i="2" l="1"/>
  <c r="Q402" i="3" a="1"/>
  <c r="Q402" i="3" s="1"/>
  <c r="Q400" i="3" a="1"/>
  <c r="Q400" i="3" s="1"/>
  <c r="Q398" i="3" a="1"/>
  <c r="Q398" i="3" s="1"/>
  <c r="Q396" i="3" a="1"/>
  <c r="Q396" i="3" s="1"/>
  <c r="Q394" i="3" a="1"/>
  <c r="Q394" i="3" s="1"/>
  <c r="Q392" i="3" a="1"/>
  <c r="Q392" i="3" s="1"/>
  <c r="Q390" i="3" a="1"/>
  <c r="Q390" i="3" s="1"/>
  <c r="Q401" i="3" a="1"/>
  <c r="Q401" i="3" s="1"/>
  <c r="Q399" i="3" a="1"/>
  <c r="Q399" i="3" s="1"/>
  <c r="Q397" i="3" a="1"/>
  <c r="Q397" i="3" s="1"/>
  <c r="Q395" i="3" a="1"/>
  <c r="Q395" i="3" s="1"/>
  <c r="Q393" i="3" a="1"/>
  <c r="Q393" i="3" s="1"/>
  <c r="Q391" i="3" a="1"/>
  <c r="Q391" i="3" s="1"/>
  <c r="Q370" i="3" a="1"/>
  <c r="Q370" i="3" s="1"/>
  <c r="Q374" i="3" a="1"/>
  <c r="Q374" i="3" s="1"/>
  <c r="Q367" i="3" a="1"/>
  <c r="Q367" i="3" s="1"/>
  <c r="Q363" i="3" a="1"/>
  <c r="Q363" i="3" s="1"/>
  <c r="Q371" i="3" a="1"/>
  <c r="Q371" i="3" s="1"/>
  <c r="Q373" i="3" a="1"/>
  <c r="Q373" i="3" s="1"/>
  <c r="Q364" i="3" a="1"/>
  <c r="Q364" i="3" s="1"/>
  <c r="Q372" i="3" a="1"/>
  <c r="Q372" i="3" s="1"/>
  <c r="Q366" i="3" a="1"/>
  <c r="Q366" i="3" s="1"/>
  <c r="Q369" i="3" a="1"/>
  <c r="Q369" i="3" s="1"/>
  <c r="Q365" i="3" a="1"/>
  <c r="Q365" i="3" s="1"/>
  <c r="Q362" i="3" a="1"/>
  <c r="Q362" i="3" s="1"/>
  <c r="Q368" i="3" a="1"/>
  <c r="Q368" i="3" s="1"/>
  <c r="Q18" i="3" a="1"/>
  <c r="Q18" i="3" s="1"/>
  <c r="Q17" i="3" a="1"/>
  <c r="Q17" i="3" s="1"/>
  <c r="Q16" i="3" a="1"/>
  <c r="Q16" i="3" s="1"/>
  <c r="Q15" i="3" a="1"/>
  <c r="Q15" i="3" s="1"/>
  <c r="Q14" i="3" a="1"/>
  <c r="Q14" i="3" s="1"/>
  <c r="Q13" i="3" a="1"/>
  <c r="Q13" i="3" s="1"/>
  <c r="Q12" i="3" a="1"/>
  <c r="Q12" i="3" s="1"/>
  <c r="Q11" i="3" a="1"/>
  <c r="Q11" i="3" s="1"/>
  <c r="Q10" i="3" a="1"/>
  <c r="Q10" i="3" s="1"/>
  <c r="Q9" i="3" a="1"/>
  <c r="Q9" i="3" s="1"/>
  <c r="Q8" i="3" a="1"/>
  <c r="Q8" i="3" s="1"/>
  <c r="Q6" i="3" a="1"/>
  <c r="Q6" i="3" s="1"/>
  <c r="Q5" i="3" a="1"/>
  <c r="Q5" i="3" s="1"/>
  <c r="Q152" i="3" a="1"/>
  <c r="Q152" i="3" s="1"/>
  <c r="BB101" i="2"/>
  <c r="BH101" i="2"/>
  <c r="BN101" i="2"/>
  <c r="BQ101" i="2"/>
  <c r="Q153" i="3" a="1"/>
  <c r="Q153" i="3" s="1"/>
  <c r="Q150" i="3" a="1"/>
  <c r="Q150" i="3" s="1"/>
  <c r="Q145" i="3" a="1"/>
  <c r="Q145" i="3" s="1"/>
  <c r="Q149" i="3" a="1"/>
  <c r="Q149" i="3" s="1"/>
  <c r="Q147" i="3" a="1"/>
  <c r="Q147" i="3" s="1"/>
  <c r="Q144" i="3" a="1"/>
  <c r="Q144" i="3" s="1"/>
  <c r="Q151" i="3" a="1"/>
  <c r="Q151" i="3" s="1"/>
  <c r="Q148" i="3" a="1"/>
  <c r="Q148" i="3" s="1"/>
  <c r="Q146" i="3" a="1"/>
  <c r="Q146" i="3" s="1"/>
  <c r="BE101" i="2"/>
  <c r="BK101" i="2"/>
  <c r="BW101" i="2"/>
  <c r="BT101" i="2"/>
  <c r="AV17" i="2"/>
  <c r="AH56" i="3" a="1"/>
  <c r="AH56" i="3" s="1"/>
  <c r="AH9" i="3" a="1"/>
  <c r="AH9" i="3" s="1"/>
  <c r="AH17" i="3" a="1"/>
  <c r="AH17" i="3" s="1"/>
  <c r="AH6" i="3" a="1"/>
  <c r="AH6" i="3" s="1"/>
  <c r="AH13" i="3" a="1"/>
  <c r="AH13" i="3" s="1"/>
  <c r="AH12" i="3" a="1"/>
  <c r="AH12" i="3" s="1"/>
  <c r="AH403" i="3"/>
  <c r="AS17" i="2"/>
  <c r="BZ17" i="2" s="1"/>
  <c r="CE17" i="2" s="1"/>
  <c r="AH78" i="3" a="1"/>
  <c r="AH78" i="3" s="1"/>
  <c r="AH41" i="3" a="1"/>
  <c r="AH41" i="3" s="1"/>
  <c r="BZ227" i="2"/>
  <c r="CC227" i="2" s="1"/>
  <c r="BZ231" i="2"/>
  <c r="CE231" i="2" s="1"/>
  <c r="BZ207" i="2"/>
  <c r="CC207" i="2" s="1"/>
  <c r="BZ169" i="2"/>
  <c r="CE169" i="2" s="1"/>
  <c r="BZ158" i="2"/>
  <c r="BZ151" i="2"/>
  <c r="CE151" i="2" s="1"/>
  <c r="BZ132" i="2"/>
  <c r="BZ123" i="2"/>
  <c r="CC123" i="2" s="1"/>
  <c r="BZ107" i="2"/>
  <c r="BZ98" i="2"/>
  <c r="CE98" i="2" s="1"/>
  <c r="BZ92" i="2"/>
  <c r="BZ85" i="2"/>
  <c r="CE85" i="2" s="1"/>
  <c r="BZ74" i="2"/>
  <c r="CE74" i="2" s="1"/>
  <c r="BZ63" i="2"/>
  <c r="CE63" i="2" s="1"/>
  <c r="BZ58" i="2"/>
  <c r="CC58" i="2" s="1"/>
  <c r="BZ54" i="2"/>
  <c r="CE54" i="2" s="1"/>
  <c r="BZ47" i="2"/>
  <c r="CC47" i="2" s="1"/>
  <c r="BZ41" i="2"/>
  <c r="CC41" i="2" s="1"/>
  <c r="BZ36" i="2"/>
  <c r="BZ27" i="2"/>
  <c r="CE27" i="2" s="1"/>
  <c r="BZ211" i="2"/>
  <c r="CE211" i="2" s="1"/>
  <c r="BZ223" i="2"/>
  <c r="CE223" i="2" s="1"/>
  <c r="BZ221" i="2"/>
  <c r="CC221" i="2" s="1"/>
  <c r="BZ160" i="2"/>
  <c r="CE160" i="2" s="1"/>
  <c r="BZ155" i="2"/>
  <c r="CC155" i="2" s="1"/>
  <c r="BZ146" i="2"/>
  <c r="BZ142" i="2"/>
  <c r="CC142" i="2" s="1"/>
  <c r="BZ134" i="2"/>
  <c r="CC134" i="2" s="1"/>
  <c r="BZ130" i="2"/>
  <c r="BZ121" i="2"/>
  <c r="CC121" i="2" s="1"/>
  <c r="BZ100" i="2"/>
  <c r="CE100" i="2" s="1"/>
  <c r="BZ94" i="2"/>
  <c r="CC94" i="2" s="1"/>
  <c r="BZ87" i="2"/>
  <c r="CE87" i="2" s="1"/>
  <c r="BZ78" i="2"/>
  <c r="CC78" i="2" s="1"/>
  <c r="BZ66" i="2"/>
  <c r="CE66" i="2" s="1"/>
  <c r="BZ60" i="2"/>
  <c r="CC60" i="2" s="1"/>
  <c r="BZ56" i="2"/>
  <c r="CC56" i="2" s="1"/>
  <c r="BZ51" i="2"/>
  <c r="CC51" i="2" s="1"/>
  <c r="BZ43" i="2"/>
  <c r="CC43" i="2" s="1"/>
  <c r="BZ39" i="2"/>
  <c r="CC39" i="2" s="1"/>
  <c r="BZ21" i="2"/>
  <c r="CC21" i="2" s="1"/>
  <c r="BZ243" i="2"/>
  <c r="BZ228" i="2"/>
  <c r="BZ222" i="2"/>
  <c r="BZ205" i="2"/>
  <c r="CE196" i="2"/>
  <c r="CC196" i="2"/>
  <c r="CE192" i="2"/>
  <c r="CC192" i="2"/>
  <c r="CE188" i="2"/>
  <c r="CC188" i="2"/>
  <c r="BZ165" i="2"/>
  <c r="BZ166" i="2" s="1"/>
  <c r="BZ156" i="2"/>
  <c r="BZ147" i="2"/>
  <c r="BZ143" i="2"/>
  <c r="BZ135" i="2"/>
  <c r="BZ131" i="2"/>
  <c r="BZ122" i="2"/>
  <c r="BZ104" i="2"/>
  <c r="BZ95" i="2"/>
  <c r="BZ88" i="2"/>
  <c r="BZ82" i="2"/>
  <c r="BZ72" i="2"/>
  <c r="BZ62" i="2"/>
  <c r="BZ57" i="2"/>
  <c r="BZ52" i="2"/>
  <c r="BZ45" i="2"/>
  <c r="BZ40" i="2"/>
  <c r="BZ34" i="2"/>
  <c r="BZ22" i="2"/>
  <c r="BZ37" i="2"/>
  <c r="BZ31" i="2"/>
  <c r="CE197" i="2"/>
  <c r="CC197" i="2"/>
  <c r="CE189" i="2"/>
  <c r="CC189" i="2"/>
  <c r="BZ140" i="2"/>
  <c r="BZ204" i="2"/>
  <c r="CE191" i="2"/>
  <c r="CC191" i="2"/>
  <c r="CE193" i="2"/>
  <c r="CC193" i="2"/>
  <c r="BZ144" i="2"/>
  <c r="BZ219" i="2"/>
  <c r="BZ242" i="2"/>
  <c r="CE195" i="2"/>
  <c r="CC195" i="2"/>
  <c r="BZ32" i="2"/>
  <c r="CD7" i="2"/>
  <c r="CB7" i="2"/>
  <c r="BZ230" i="2"/>
  <c r="BZ241" i="2"/>
  <c r="BZ229" i="2"/>
  <c r="BZ220" i="2"/>
  <c r="CE173" i="2"/>
  <c r="CC173" i="2"/>
  <c r="CE194" i="2"/>
  <c r="CC194" i="2"/>
  <c r="CE190" i="2"/>
  <c r="CC190" i="2"/>
  <c r="CE181" i="2"/>
  <c r="CC181" i="2"/>
  <c r="BZ159" i="2"/>
  <c r="BZ153" i="2"/>
  <c r="BZ145" i="2"/>
  <c r="BZ141" i="2"/>
  <c r="BZ133" i="2"/>
  <c r="BZ124" i="2"/>
  <c r="BZ120" i="2"/>
  <c r="BZ99" i="2"/>
  <c r="BZ93" i="2"/>
  <c r="BZ86" i="2"/>
  <c r="BZ250" i="2"/>
  <c r="BZ64" i="2"/>
  <c r="BZ59" i="2"/>
  <c r="BZ55" i="2"/>
  <c r="BZ49" i="2"/>
  <c r="BZ42" i="2"/>
  <c r="BZ38" i="2"/>
  <c r="BZ28" i="2"/>
  <c r="BZ20" i="2"/>
  <c r="BZ218" i="2"/>
  <c r="BZ212" i="2"/>
  <c r="BH246" i="2"/>
  <c r="BT161" i="2"/>
  <c r="AP161" i="2"/>
  <c r="AV161" i="2"/>
  <c r="BQ79" i="2"/>
  <c r="BQ24" i="2"/>
  <c r="AP24" i="2"/>
  <c r="BB24" i="2"/>
  <c r="BH24" i="2"/>
  <c r="AP201" i="2"/>
  <c r="BZ201" i="2" s="1"/>
  <c r="BQ148" i="2"/>
  <c r="AP246" i="2"/>
  <c r="AP148" i="2"/>
  <c r="AP101" i="2"/>
  <c r="AP79" i="2"/>
  <c r="BB161" i="2"/>
  <c r="BE148" i="2"/>
  <c r="BE79" i="2"/>
  <c r="BE24" i="2"/>
  <c r="BH161" i="2"/>
  <c r="BK148" i="2"/>
  <c r="BK79" i="2"/>
  <c r="BK24" i="2"/>
  <c r="BN161" i="2"/>
  <c r="BQ246" i="2"/>
  <c r="BW148" i="2"/>
  <c r="BW79" i="2"/>
  <c r="BW24" i="2"/>
  <c r="AS79" i="2"/>
  <c r="AS24" i="2"/>
  <c r="AV148" i="2"/>
  <c r="AV101" i="2"/>
  <c r="AV79" i="2"/>
  <c r="AV24" i="2"/>
  <c r="BE246" i="2"/>
  <c r="BK246" i="2"/>
  <c r="BQ161" i="2"/>
  <c r="BT148" i="2"/>
  <c r="BT79" i="2"/>
  <c r="BT24" i="2"/>
  <c r="BW246" i="2"/>
  <c r="AS246" i="2"/>
  <c r="BB246" i="2"/>
  <c r="BN246" i="2"/>
  <c r="AV246" i="2"/>
  <c r="BB148" i="2"/>
  <c r="BB79" i="2"/>
  <c r="BE161" i="2"/>
  <c r="BH148" i="2"/>
  <c r="BH79" i="2"/>
  <c r="BK161" i="2"/>
  <c r="BN148" i="2"/>
  <c r="BN79" i="2"/>
  <c r="BT246" i="2"/>
  <c r="BW161" i="2"/>
  <c r="BN24" i="2"/>
  <c r="AS161" i="2"/>
  <c r="AS101" i="2"/>
  <c r="AS148" i="2"/>
  <c r="BZ7" i="2"/>
  <c r="AS69" i="2"/>
  <c r="AV69" i="2"/>
  <c r="BB69" i="2"/>
  <c r="BE69" i="2"/>
  <c r="BH69" i="2"/>
  <c r="BK69" i="2"/>
  <c r="BN69" i="2"/>
  <c r="BQ69" i="2"/>
  <c r="BT69" i="2"/>
  <c r="BW69" i="2"/>
  <c r="AP69" i="2"/>
  <c r="AD21" i="3"/>
  <c r="Z21" i="3"/>
  <c r="V21" i="3"/>
  <c r="R21" i="3"/>
  <c r="N21" i="3"/>
  <c r="J14" i="3" a="1"/>
  <c r="J14" i="3" s="1"/>
  <c r="AG21" i="3"/>
  <c r="AC21" i="3"/>
  <c r="Y21" i="3"/>
  <c r="U21" i="3"/>
  <c r="AA21" i="3"/>
  <c r="W21" i="3"/>
  <c r="AE21" i="3"/>
  <c r="S21" i="3"/>
  <c r="AF21" i="3"/>
  <c r="AB21" i="3"/>
  <c r="X21" i="3"/>
  <c r="T21" i="3"/>
  <c r="P21" i="3"/>
  <c r="CG289" i="2"/>
  <c r="AK289" i="2"/>
  <c r="AG276" i="2"/>
  <c r="AI276" i="2" s="1"/>
  <c r="AG275" i="2"/>
  <c r="AI275" i="2" s="1"/>
  <c r="AG274" i="2"/>
  <c r="AI274" i="2" s="1"/>
  <c r="AG273" i="2"/>
  <c r="AI273" i="2" s="1"/>
  <c r="AG272" i="2"/>
  <c r="AI272" i="2" s="1"/>
  <c r="AG271" i="2"/>
  <c r="AI271" i="2" s="1"/>
  <c r="AG270" i="2"/>
  <c r="AI270" i="2" s="1"/>
  <c r="AG269" i="2"/>
  <c r="AI269" i="2" s="1"/>
  <c r="AG268" i="2"/>
  <c r="AI268" i="2" s="1"/>
  <c r="AG267" i="2"/>
  <c r="AI267" i="2" s="1"/>
  <c r="CH156" i="2"/>
  <c r="CH165" i="2"/>
  <c r="CH166" i="2" s="1"/>
  <c r="CG165" i="2"/>
  <c r="CG166" i="2" s="1"/>
  <c r="AK165" i="2"/>
  <c r="AM165" i="2" s="1"/>
  <c r="AM166" i="2" s="1"/>
  <c r="CH124" i="2"/>
  <c r="CH146" i="2"/>
  <c r="AK124" i="2"/>
  <c r="AK146" i="2"/>
  <c r="AM146" i="2" s="1"/>
  <c r="AK88" i="2"/>
  <c r="AM88" i="2" s="1"/>
  <c r="AK132" i="2"/>
  <c r="AM132" i="2" s="1"/>
  <c r="AK107" i="2"/>
  <c r="AM107" i="2" s="1"/>
  <c r="CH93" i="2"/>
  <c r="CG93" i="2"/>
  <c r="AK93" i="2"/>
  <c r="AM93" i="2" s="1"/>
  <c r="CH92" i="2"/>
  <c r="CG92" i="2"/>
  <c r="AK92" i="2"/>
  <c r="AM92" i="2" s="1"/>
  <c r="AK86" i="2"/>
  <c r="CG146" i="2"/>
  <c r="CG156" i="2"/>
  <c r="CG161" i="2" s="1"/>
  <c r="AK156" i="2"/>
  <c r="AM156" i="2" s="1"/>
  <c r="AV152" i="3"/>
  <c r="AV147" i="3"/>
  <c r="CG59" i="2"/>
  <c r="CH58" i="2"/>
  <c r="CG58" i="2"/>
  <c r="CH57" i="2"/>
  <c r="CG57" i="2"/>
  <c r="CH51" i="2"/>
  <c r="CG51" i="2"/>
  <c r="CG37" i="2"/>
  <c r="EA37" i="2" s="1"/>
  <c r="CG36" i="2"/>
  <c r="CG38" i="2"/>
  <c r="AK36" i="2"/>
  <c r="AM36" i="2" s="1"/>
  <c r="CJ246" i="2"/>
  <c r="CI246" i="2"/>
  <c r="CJ201" i="2"/>
  <c r="CI201" i="2"/>
  <c r="CJ161" i="2"/>
  <c r="CI161" i="2"/>
  <c r="CJ148" i="2"/>
  <c r="CI148" i="2"/>
  <c r="CJ101" i="2"/>
  <c r="CI101" i="2"/>
  <c r="CJ79" i="2"/>
  <c r="CI79" i="2"/>
  <c r="CJ24" i="2"/>
  <c r="CI24" i="2"/>
  <c r="CJ17" i="2"/>
  <c r="CI17" i="2"/>
  <c r="CH135" i="2"/>
  <c r="CG135" i="2"/>
  <c r="AK135" i="2"/>
  <c r="AM135" i="2" s="1"/>
  <c r="AK243" i="2"/>
  <c r="CH79" i="2"/>
  <c r="CH262" i="2"/>
  <c r="CG262" i="2"/>
  <c r="AK262" i="2"/>
  <c r="AG261" i="2"/>
  <c r="AI261" i="2" s="1"/>
  <c r="AG259" i="2"/>
  <c r="AI259" i="2" s="1"/>
  <c r="CH243" i="2"/>
  <c r="CH245" i="2"/>
  <c r="CG245" i="2"/>
  <c r="AK245" i="2"/>
  <c r="CG144" i="2"/>
  <c r="AK153" i="2"/>
  <c r="AM153" i="2" s="1"/>
  <c r="CH159" i="2"/>
  <c r="AK159" i="2"/>
  <c r="AM159" i="2" s="1"/>
  <c r="AJ100" i="4"/>
  <c r="AI100" i="4"/>
  <c r="AH100" i="4"/>
  <c r="AH12" i="4"/>
  <c r="AJ127" i="4"/>
  <c r="AI127" i="4"/>
  <c r="AJ12" i="4"/>
  <c r="AI12" i="4"/>
  <c r="AJ56" i="4"/>
  <c r="AI56" i="4"/>
  <c r="AH56" i="4"/>
  <c r="AH127" i="4"/>
  <c r="AI21" i="4"/>
  <c r="AJ21" i="4"/>
  <c r="AH21" i="4"/>
  <c r="AJ17" i="4"/>
  <c r="AJ46" i="4"/>
  <c r="AI46" i="4"/>
  <c r="AH46" i="4"/>
  <c r="AJ84" i="4"/>
  <c r="AI84" i="4"/>
  <c r="AH84" i="4"/>
  <c r="AH78" i="4"/>
  <c r="AJ93" i="4"/>
  <c r="AI93" i="4"/>
  <c r="AH93" i="4"/>
  <c r="AJ39" i="4"/>
  <c r="AI39" i="4"/>
  <c r="AH39" i="4"/>
  <c r="AJ35" i="4"/>
  <c r="AI35" i="4"/>
  <c r="AH35" i="4"/>
  <c r="AJ61" i="4"/>
  <c r="AI61" i="4"/>
  <c r="AH61" i="4"/>
  <c r="AJ96" i="4"/>
  <c r="AI96" i="4"/>
  <c r="AH96" i="4"/>
  <c r="AJ73" i="4"/>
  <c r="AH73" i="4"/>
  <c r="AJ67" i="4"/>
  <c r="AI67" i="4"/>
  <c r="AH67" i="4"/>
  <c r="AJ106" i="4"/>
  <c r="AI106" i="4"/>
  <c r="AH106" i="4"/>
  <c r="AH89" i="4"/>
  <c r="AI17" i="4"/>
  <c r="AH17" i="4"/>
  <c r="BY122" i="4"/>
  <c r="BR122" i="4"/>
  <c r="BO122" i="4"/>
  <c r="BM122" i="4"/>
  <c r="BK122" i="4"/>
  <c r="BI122" i="4"/>
  <c r="BG122" i="4"/>
  <c r="BE122" i="4"/>
  <c r="BC122" i="4"/>
  <c r="BA122" i="4"/>
  <c r="AZ122" i="4"/>
  <c r="AX122" i="4"/>
  <c r="AW122" i="4"/>
  <c r="AU122" i="4"/>
  <c r="AT122" i="4"/>
  <c r="AP122" i="4"/>
  <c r="AO122" i="4"/>
  <c r="AM122" i="4"/>
  <c r="AK122" i="4"/>
  <c r="AG122" i="4"/>
  <c r="AE122" i="4"/>
  <c r="AC122" i="4"/>
  <c r="AA122" i="4"/>
  <c r="Z122" i="4"/>
  <c r="BP104" i="4"/>
  <c r="BN104" i="4"/>
  <c r="BL104" i="4"/>
  <c r="BJ104" i="4"/>
  <c r="BH104" i="4"/>
  <c r="BF104" i="4"/>
  <c r="BD104" i="4"/>
  <c r="BB104" i="4"/>
  <c r="AY104" i="4"/>
  <c r="AV104" i="4"/>
  <c r="AR104" i="4"/>
  <c r="AQ104" i="4"/>
  <c r="AN104" i="4"/>
  <c r="AL104" i="4"/>
  <c r="AB104" i="4"/>
  <c r="AD104" i="4" s="1"/>
  <c r="BW102" i="4"/>
  <c r="BP102" i="4"/>
  <c r="BN102" i="4"/>
  <c r="BL102" i="4"/>
  <c r="BJ102" i="4"/>
  <c r="BH102" i="4"/>
  <c r="BF102" i="4"/>
  <c r="BD102" i="4"/>
  <c r="BB102" i="4"/>
  <c r="AY102" i="4"/>
  <c r="AV102" i="4"/>
  <c r="AR102" i="4"/>
  <c r="AQ102" i="4"/>
  <c r="AN102" i="4"/>
  <c r="AL102" i="4"/>
  <c r="AI102" i="4"/>
  <c r="AB102" i="4"/>
  <c r="AD102" i="4" s="1"/>
  <c r="BP98" i="4"/>
  <c r="BN98" i="4"/>
  <c r="BL98" i="4"/>
  <c r="BJ98" i="4"/>
  <c r="BH98" i="4"/>
  <c r="BF98" i="4"/>
  <c r="BD98" i="4"/>
  <c r="BB98" i="4"/>
  <c r="AY98" i="4"/>
  <c r="AV98" i="4"/>
  <c r="AR98" i="4"/>
  <c r="AQ98" i="4"/>
  <c r="AN98" i="4"/>
  <c r="AL98" i="4"/>
  <c r="AB98" i="4"/>
  <c r="AD98" i="4" s="1"/>
  <c r="BP91" i="4"/>
  <c r="BN91" i="4"/>
  <c r="BL91" i="4"/>
  <c r="BJ91" i="4"/>
  <c r="BH91" i="4"/>
  <c r="BF91" i="4"/>
  <c r="BD91" i="4"/>
  <c r="BB91" i="4"/>
  <c r="AY91" i="4"/>
  <c r="AV91" i="4"/>
  <c r="AR91" i="4"/>
  <c r="AQ91" i="4"/>
  <c r="AN91" i="4"/>
  <c r="AL91" i="4"/>
  <c r="AB91" i="4"/>
  <c r="AD91" i="4" s="1"/>
  <c r="AF91" i="4" s="1"/>
  <c r="BP94" i="4"/>
  <c r="BN94" i="4"/>
  <c r="BL94" i="4"/>
  <c r="BJ94" i="4"/>
  <c r="BH94" i="4"/>
  <c r="BF94" i="4"/>
  <c r="BD94" i="4"/>
  <c r="BB94" i="4"/>
  <c r="AY94" i="4"/>
  <c r="AV94" i="4"/>
  <c r="AR94" i="4"/>
  <c r="AQ94" i="4"/>
  <c r="AN94" i="4"/>
  <c r="AL94" i="4"/>
  <c r="AB94" i="4"/>
  <c r="AD94" i="4" s="1"/>
  <c r="BB87" i="4"/>
  <c r="BQ87" i="4" s="1"/>
  <c r="AD87" i="4"/>
  <c r="AF87" i="4" s="1"/>
  <c r="BP86" i="4"/>
  <c r="BN86" i="4"/>
  <c r="BL86" i="4"/>
  <c r="BJ86" i="4"/>
  <c r="BH86" i="4"/>
  <c r="BF86" i="4"/>
  <c r="BD86" i="4"/>
  <c r="BB86" i="4"/>
  <c r="AY86" i="4"/>
  <c r="AV86" i="4"/>
  <c r="AR86" i="4"/>
  <c r="AQ86" i="4"/>
  <c r="AN86" i="4"/>
  <c r="AL86" i="4"/>
  <c r="AJ86" i="4"/>
  <c r="AJ89" i="4" s="1"/>
  <c r="AI86" i="4"/>
  <c r="AI89" i="4" s="1"/>
  <c r="AB86" i="4"/>
  <c r="AD86" i="4" s="1"/>
  <c r="AF86" i="4" s="1"/>
  <c r="BB82" i="4"/>
  <c r="BQ82" i="4" s="1"/>
  <c r="AD82" i="4"/>
  <c r="BP81" i="4"/>
  <c r="BN81" i="4"/>
  <c r="BL81" i="4"/>
  <c r="BJ81" i="4"/>
  <c r="BH81" i="4"/>
  <c r="BF81" i="4"/>
  <c r="BD81" i="4"/>
  <c r="BB81" i="4"/>
  <c r="AY81" i="4"/>
  <c r="AV81" i="4"/>
  <c r="AR81" i="4"/>
  <c r="AQ81" i="4"/>
  <c r="AN81" i="4"/>
  <c r="AL81" i="4"/>
  <c r="AB81" i="4"/>
  <c r="AD81" i="4" s="1"/>
  <c r="BP80" i="4"/>
  <c r="BN80" i="4"/>
  <c r="BL80" i="4"/>
  <c r="BJ80" i="4"/>
  <c r="BH80" i="4"/>
  <c r="BF80" i="4"/>
  <c r="BD80" i="4"/>
  <c r="BB80" i="4"/>
  <c r="AY80" i="4"/>
  <c r="AV80" i="4"/>
  <c r="AR80" i="4"/>
  <c r="AQ80" i="4"/>
  <c r="AN80" i="4"/>
  <c r="AL80" i="4"/>
  <c r="AB80" i="4"/>
  <c r="AD80" i="4" s="1"/>
  <c r="BP76" i="4"/>
  <c r="BN76" i="4"/>
  <c r="BL76" i="4"/>
  <c r="BJ76" i="4"/>
  <c r="BH76" i="4"/>
  <c r="BF76" i="4"/>
  <c r="BD76" i="4"/>
  <c r="BB76" i="4"/>
  <c r="AY76" i="4"/>
  <c r="AV76" i="4"/>
  <c r="AR76" i="4"/>
  <c r="AQ76" i="4"/>
  <c r="AN76" i="4"/>
  <c r="AL76" i="4"/>
  <c r="AB76" i="4"/>
  <c r="AD76" i="4" s="1"/>
  <c r="AF76" i="4" s="1"/>
  <c r="BP75" i="4"/>
  <c r="BN75" i="4"/>
  <c r="BL75" i="4"/>
  <c r="BJ75" i="4"/>
  <c r="BH75" i="4"/>
  <c r="BF75" i="4"/>
  <c r="BD75" i="4"/>
  <c r="BB75" i="4"/>
  <c r="AY75" i="4"/>
  <c r="AV75" i="4"/>
  <c r="AR75" i="4"/>
  <c r="AQ75" i="4"/>
  <c r="AN75" i="4"/>
  <c r="AL75" i="4"/>
  <c r="AJ75" i="4"/>
  <c r="AJ78" i="4" s="1"/>
  <c r="AI75" i="4"/>
  <c r="AI78" i="4" s="1"/>
  <c r="AB75" i="4"/>
  <c r="AD75" i="4" s="1"/>
  <c r="AI70" i="4"/>
  <c r="AI73" i="4" s="1"/>
  <c r="AB70" i="4"/>
  <c r="AD70" i="4" s="1"/>
  <c r="AF70" i="4" s="1"/>
  <c r="BP69" i="4"/>
  <c r="BN69" i="4"/>
  <c r="BL69" i="4"/>
  <c r="BJ69" i="4"/>
  <c r="BH69" i="4"/>
  <c r="BF69" i="4"/>
  <c r="BD69" i="4"/>
  <c r="BB69" i="4"/>
  <c r="AY69" i="4"/>
  <c r="AV69" i="4"/>
  <c r="AR69" i="4"/>
  <c r="AQ69" i="4"/>
  <c r="AN69" i="4"/>
  <c r="AL69" i="4"/>
  <c r="AB69" i="4"/>
  <c r="AD69" i="4" s="1"/>
  <c r="BP65" i="4"/>
  <c r="BN65" i="4"/>
  <c r="BL65" i="4"/>
  <c r="BJ65" i="4"/>
  <c r="BH65" i="4"/>
  <c r="BF65" i="4"/>
  <c r="BD65" i="4"/>
  <c r="BB65" i="4"/>
  <c r="AY65" i="4"/>
  <c r="AV65" i="4"/>
  <c r="AR65" i="4"/>
  <c r="AQ65" i="4"/>
  <c r="AN65" i="4"/>
  <c r="AL65" i="4"/>
  <c r="AB65" i="4"/>
  <c r="AD65" i="4" s="1"/>
  <c r="BP63" i="4"/>
  <c r="BN63" i="4"/>
  <c r="BL63" i="4"/>
  <c r="BJ63" i="4"/>
  <c r="BH63" i="4"/>
  <c r="BF63" i="4"/>
  <c r="BD63" i="4"/>
  <c r="BB63" i="4"/>
  <c r="AY63" i="4"/>
  <c r="AV63" i="4"/>
  <c r="AR63" i="4"/>
  <c r="AQ63" i="4"/>
  <c r="AN63" i="4"/>
  <c r="AL63" i="4"/>
  <c r="AB63" i="4"/>
  <c r="AD63" i="4" s="1"/>
  <c r="BP60" i="4"/>
  <c r="BN60" i="4"/>
  <c r="BL60" i="4"/>
  <c r="BJ60" i="4"/>
  <c r="BH60" i="4"/>
  <c r="BF60" i="4"/>
  <c r="BD60" i="4"/>
  <c r="BB60" i="4"/>
  <c r="AY60" i="4"/>
  <c r="AV60" i="4"/>
  <c r="AR60" i="4"/>
  <c r="AQ60" i="4"/>
  <c r="AN60" i="4"/>
  <c r="AL60" i="4"/>
  <c r="AB60" i="4"/>
  <c r="AD60" i="4" s="1"/>
  <c r="AF60" i="4" s="1"/>
  <c r="BP59" i="4"/>
  <c r="BN59" i="4"/>
  <c r="BL59" i="4"/>
  <c r="BJ59" i="4"/>
  <c r="BH59" i="4"/>
  <c r="BF59" i="4"/>
  <c r="BD59" i="4"/>
  <c r="BB59" i="4"/>
  <c r="AY59" i="4"/>
  <c r="AV59" i="4"/>
  <c r="AR59" i="4"/>
  <c r="AQ59" i="4"/>
  <c r="AN59" i="4"/>
  <c r="AL59" i="4"/>
  <c r="AB59" i="4"/>
  <c r="AD59" i="4" s="1"/>
  <c r="BP53" i="4"/>
  <c r="BN53" i="4"/>
  <c r="BL53" i="4"/>
  <c r="BJ53" i="4"/>
  <c r="BH53" i="4"/>
  <c r="BF53" i="4"/>
  <c r="BD53" i="4"/>
  <c r="BB53" i="4"/>
  <c r="AY53" i="4"/>
  <c r="AV53" i="4"/>
  <c r="AR53" i="4"/>
  <c r="AQ53" i="4"/>
  <c r="AN53" i="4"/>
  <c r="AL53" i="4"/>
  <c r="AB53" i="4"/>
  <c r="AD53" i="4" s="1"/>
  <c r="BP52" i="4"/>
  <c r="BN52" i="4"/>
  <c r="BL52" i="4"/>
  <c r="BJ52" i="4"/>
  <c r="BH52" i="4"/>
  <c r="BF52" i="4"/>
  <c r="BD52" i="4"/>
  <c r="BB52" i="4"/>
  <c r="AY52" i="4"/>
  <c r="AV52" i="4"/>
  <c r="AR52" i="4"/>
  <c r="AQ52" i="4"/>
  <c r="AN52" i="4"/>
  <c r="AL52" i="4"/>
  <c r="AB52" i="4"/>
  <c r="AD52" i="4" s="1"/>
  <c r="AF52" i="4" s="1"/>
  <c r="BP51" i="4"/>
  <c r="BN51" i="4"/>
  <c r="BL51" i="4"/>
  <c r="BJ51" i="4"/>
  <c r="BH51" i="4"/>
  <c r="BF51" i="4"/>
  <c r="BD51" i="4"/>
  <c r="BB51" i="4"/>
  <c r="AY51" i="4"/>
  <c r="AV51" i="4"/>
  <c r="AR51" i="4"/>
  <c r="AQ51" i="4"/>
  <c r="AN51" i="4"/>
  <c r="AL51" i="4"/>
  <c r="AB51" i="4"/>
  <c r="AD51" i="4" s="1"/>
  <c r="BP49" i="4"/>
  <c r="BN49" i="4"/>
  <c r="BL49" i="4"/>
  <c r="BJ49" i="4"/>
  <c r="BH49" i="4"/>
  <c r="BF49" i="4"/>
  <c r="BD49" i="4"/>
  <c r="BB49" i="4"/>
  <c r="AY49" i="4"/>
  <c r="AV49" i="4"/>
  <c r="AR49" i="4"/>
  <c r="AQ49" i="4"/>
  <c r="AN49" i="4"/>
  <c r="AL49" i="4"/>
  <c r="AB49" i="4"/>
  <c r="AD49" i="4" s="1"/>
  <c r="AF49" i="4" s="1"/>
  <c r="BP43" i="4"/>
  <c r="BN43" i="4"/>
  <c r="BL43" i="4"/>
  <c r="BJ43" i="4"/>
  <c r="BH43" i="4"/>
  <c r="BF43" i="4"/>
  <c r="BD43" i="4"/>
  <c r="BB43" i="4"/>
  <c r="AY43" i="4"/>
  <c r="AV43" i="4"/>
  <c r="AR43" i="4"/>
  <c r="AQ43" i="4"/>
  <c r="AN43" i="4"/>
  <c r="AL43" i="4"/>
  <c r="AB43" i="4"/>
  <c r="AD43" i="4" s="1"/>
  <c r="BP41" i="4"/>
  <c r="BN41" i="4"/>
  <c r="BL41" i="4"/>
  <c r="BJ41" i="4"/>
  <c r="BH41" i="4"/>
  <c r="BF41" i="4"/>
  <c r="BD41" i="4"/>
  <c r="BB41" i="4"/>
  <c r="AY41" i="4"/>
  <c r="AV41" i="4"/>
  <c r="AR41" i="4"/>
  <c r="AQ41" i="4"/>
  <c r="AN41" i="4"/>
  <c r="AL41" i="4"/>
  <c r="AB41" i="4"/>
  <c r="AD41" i="4" s="1"/>
  <c r="AF41" i="4" s="1"/>
  <c r="BP36" i="4"/>
  <c r="BN36" i="4"/>
  <c r="BL36" i="4"/>
  <c r="BJ36" i="4"/>
  <c r="BH36" i="4"/>
  <c r="BF36" i="4"/>
  <c r="BD36" i="4"/>
  <c r="BB36" i="4"/>
  <c r="AY36" i="4"/>
  <c r="AV36" i="4"/>
  <c r="AR36" i="4"/>
  <c r="AQ36" i="4"/>
  <c r="AN36" i="4"/>
  <c r="AL36" i="4"/>
  <c r="AB36" i="4"/>
  <c r="AD36" i="4" s="1"/>
  <c r="AF36" i="4" s="1"/>
  <c r="BP31" i="4"/>
  <c r="BN31" i="4"/>
  <c r="BL31" i="4"/>
  <c r="BJ31" i="4"/>
  <c r="BH31" i="4"/>
  <c r="BF31" i="4"/>
  <c r="BD31" i="4"/>
  <c r="BB31" i="4"/>
  <c r="AY31" i="4"/>
  <c r="AV31" i="4"/>
  <c r="AR31" i="4"/>
  <c r="AQ31" i="4"/>
  <c r="AN31" i="4"/>
  <c r="AL31" i="4"/>
  <c r="AB31" i="4"/>
  <c r="AD31" i="4" s="1"/>
  <c r="AF31" i="4" s="1"/>
  <c r="BP30" i="4"/>
  <c r="BN30" i="4"/>
  <c r="BL30" i="4"/>
  <c r="BJ30" i="4"/>
  <c r="BH30" i="4"/>
  <c r="BF30" i="4"/>
  <c r="BD30" i="4"/>
  <c r="BB30" i="4"/>
  <c r="AY30" i="4"/>
  <c r="AV30" i="4"/>
  <c r="AR30" i="4"/>
  <c r="AQ30" i="4"/>
  <c r="AN30" i="4"/>
  <c r="AL30" i="4"/>
  <c r="AB30" i="4"/>
  <c r="AD30" i="4" s="1"/>
  <c r="BP29" i="4"/>
  <c r="BN29" i="4"/>
  <c r="BL29" i="4"/>
  <c r="BJ29" i="4"/>
  <c r="BH29" i="4"/>
  <c r="BF29" i="4"/>
  <c r="BD29" i="4"/>
  <c r="BB29" i="4"/>
  <c r="AY29" i="4"/>
  <c r="AV29" i="4"/>
  <c r="AR29" i="4"/>
  <c r="AQ29" i="4"/>
  <c r="AN29" i="4"/>
  <c r="AL29" i="4"/>
  <c r="AB29" i="4"/>
  <c r="AD29" i="4" s="1"/>
  <c r="BP28" i="4"/>
  <c r="BN28" i="4"/>
  <c r="BL28" i="4"/>
  <c r="BJ28" i="4"/>
  <c r="BH28" i="4"/>
  <c r="BF28" i="4"/>
  <c r="BD28" i="4"/>
  <c r="BB28" i="4"/>
  <c r="AY28" i="4"/>
  <c r="AV28" i="4"/>
  <c r="AR28" i="4"/>
  <c r="AQ28" i="4"/>
  <c r="AN28" i="4"/>
  <c r="AL28" i="4"/>
  <c r="AB28" i="4"/>
  <c r="AD28" i="4" s="1"/>
  <c r="AF28" i="4" s="1"/>
  <c r="AI25" i="4"/>
  <c r="AH25" i="4"/>
  <c r="AJ24" i="4"/>
  <c r="AJ25" i="4" s="1"/>
  <c r="BP23" i="4"/>
  <c r="BN23" i="4"/>
  <c r="BL23" i="4"/>
  <c r="BJ23" i="4"/>
  <c r="BH23" i="4"/>
  <c r="BF23" i="4"/>
  <c r="BD23" i="4"/>
  <c r="BB23" i="4"/>
  <c r="AY23" i="4"/>
  <c r="AV23" i="4"/>
  <c r="AR23" i="4"/>
  <c r="AQ23" i="4"/>
  <c r="AN23" i="4"/>
  <c r="AL23" i="4"/>
  <c r="AB23" i="4"/>
  <c r="AD23" i="4" s="1"/>
  <c r="BP19" i="4"/>
  <c r="BN19" i="4"/>
  <c r="BL19" i="4"/>
  <c r="BJ19" i="4"/>
  <c r="BH19" i="4"/>
  <c r="BF19" i="4"/>
  <c r="BD19" i="4"/>
  <c r="BB19" i="4"/>
  <c r="AY19" i="4"/>
  <c r="AV19" i="4"/>
  <c r="AR19" i="4"/>
  <c r="AQ19" i="4"/>
  <c r="AN19" i="4"/>
  <c r="AL19" i="4"/>
  <c r="AB19" i="4"/>
  <c r="AD19" i="4" s="1"/>
  <c r="AF19" i="4" s="1"/>
  <c r="CA19" i="4" s="1"/>
  <c r="BP15" i="4"/>
  <c r="BN15" i="4"/>
  <c r="BL15" i="4"/>
  <c r="BJ15" i="4"/>
  <c r="BH15" i="4"/>
  <c r="BF15" i="4"/>
  <c r="BD15" i="4"/>
  <c r="BB15" i="4"/>
  <c r="AY15" i="4"/>
  <c r="AV15" i="4"/>
  <c r="AR15" i="4"/>
  <c r="AQ15" i="4"/>
  <c r="AN15" i="4"/>
  <c r="AL15" i="4"/>
  <c r="AB15" i="4"/>
  <c r="AD15" i="4" s="1"/>
  <c r="BP14" i="4"/>
  <c r="BN14" i="4"/>
  <c r="BL14" i="4"/>
  <c r="BJ14" i="4"/>
  <c r="BH14" i="4"/>
  <c r="BF14" i="4"/>
  <c r="BD14" i="4"/>
  <c r="BB14" i="4"/>
  <c r="AY14" i="4"/>
  <c r="AV14" i="4"/>
  <c r="AR14" i="4"/>
  <c r="AQ14" i="4"/>
  <c r="AN14" i="4"/>
  <c r="AL14" i="4"/>
  <c r="AB14" i="4"/>
  <c r="AD14" i="4" s="1"/>
  <c r="BP9" i="4"/>
  <c r="BN9" i="4"/>
  <c r="BL9" i="4"/>
  <c r="BJ9" i="4"/>
  <c r="BH9" i="4"/>
  <c r="BF9" i="4"/>
  <c r="BD9" i="4"/>
  <c r="BB9" i="4"/>
  <c r="AY9" i="4"/>
  <c r="AV9" i="4"/>
  <c r="AR9" i="4"/>
  <c r="AQ9" i="4"/>
  <c r="AN9" i="4"/>
  <c r="AL9" i="4"/>
  <c r="AB9" i="4"/>
  <c r="AD9" i="4" s="1"/>
  <c r="AD7" i="4"/>
  <c r="AF7" i="4" s="1"/>
  <c r="BN6" i="4"/>
  <c r="BL6" i="4"/>
  <c r="BJ6" i="4"/>
  <c r="BH6" i="4"/>
  <c r="BF6" i="4"/>
  <c r="BD6" i="4"/>
  <c r="BN5" i="4"/>
  <c r="BL5" i="4"/>
  <c r="BJ5" i="4"/>
  <c r="BH5" i="4"/>
  <c r="BF5" i="4"/>
  <c r="BD5" i="4"/>
  <c r="AK131" i="2"/>
  <c r="AM131" i="2" s="1"/>
  <c r="AK187" i="2"/>
  <c r="CH201" i="2"/>
  <c r="CH121" i="2"/>
  <c r="CG121" i="2"/>
  <c r="CH130" i="2"/>
  <c r="CG130" i="2"/>
  <c r="CH107" i="2"/>
  <c r="CG131" i="2"/>
  <c r="CG124" i="2"/>
  <c r="CG107" i="2"/>
  <c r="AK130" i="2"/>
  <c r="AM130" i="2" s="1"/>
  <c r="AQ376" i="3"/>
  <c r="CG74" i="2"/>
  <c r="CG79" i="2" s="1"/>
  <c r="E384" i="3" a="1"/>
  <c r="E384" i="3" s="1"/>
  <c r="D384" i="3" a="1"/>
  <c r="D384" i="3" s="1"/>
  <c r="E383" i="3" a="1"/>
  <c r="E383" i="3" s="1"/>
  <c r="D383" i="3" a="1"/>
  <c r="D383" i="3" s="1"/>
  <c r="E382" i="3" a="1"/>
  <c r="E382" i="3" s="1"/>
  <c r="D382" i="3" a="1"/>
  <c r="D382" i="3" s="1"/>
  <c r="E381" i="3" a="1"/>
  <c r="E381" i="3" s="1"/>
  <c r="D381" i="3" a="1"/>
  <c r="D381" i="3" s="1"/>
  <c r="E380" i="3" a="1"/>
  <c r="E380" i="3" s="1"/>
  <c r="E385" i="3" s="1"/>
  <c r="D380" i="3" a="1"/>
  <c r="D380" i="3" s="1"/>
  <c r="D385" i="3" s="1"/>
  <c r="E354" i="3"/>
  <c r="D354" i="3"/>
  <c r="E348" i="3"/>
  <c r="D348" i="3"/>
  <c r="E344" i="3"/>
  <c r="D344" i="3"/>
  <c r="E340" i="3"/>
  <c r="D340" i="3"/>
  <c r="E338" i="3" a="1"/>
  <c r="E338" i="3" s="1"/>
  <c r="D338" i="3" a="1"/>
  <c r="D338" i="3" s="1"/>
  <c r="E334" i="3" a="1"/>
  <c r="E334" i="3" s="1"/>
  <c r="D334" i="3" a="1"/>
  <c r="D334" i="3" s="1"/>
  <c r="E333" i="3" a="1"/>
  <c r="E333" i="3" s="1"/>
  <c r="D333" i="3" a="1"/>
  <c r="D333" i="3" s="1"/>
  <c r="E331" i="3" a="1"/>
  <c r="E331" i="3" s="1"/>
  <c r="D331" i="3" a="1"/>
  <c r="D331" i="3" s="1"/>
  <c r="E330" i="3" a="1"/>
  <c r="E330" i="3" s="1"/>
  <c r="D330" i="3" a="1"/>
  <c r="D330" i="3" s="1"/>
  <c r="E329" i="3" a="1"/>
  <c r="E329" i="3" s="1"/>
  <c r="D329" i="3" a="1"/>
  <c r="D329" i="3" s="1"/>
  <c r="E328" i="3" a="1"/>
  <c r="E328" i="3" s="1"/>
  <c r="D328" i="3" a="1"/>
  <c r="D328" i="3" s="1"/>
  <c r="E327" i="3" a="1"/>
  <c r="E327" i="3" s="1"/>
  <c r="E326" i="3" s="1"/>
  <c r="D327" i="3" a="1"/>
  <c r="D327" i="3" s="1"/>
  <c r="D326" i="3" s="1"/>
  <c r="E323" i="3" a="1"/>
  <c r="E323" i="3" s="1"/>
  <c r="E322" i="3" s="1"/>
  <c r="D323" i="3" a="1"/>
  <c r="D323" i="3" s="1"/>
  <c r="D322" i="3" s="1"/>
  <c r="E318" i="3"/>
  <c r="D318" i="3"/>
  <c r="E316" i="3" a="1"/>
  <c r="E316" i="3" s="1"/>
  <c r="D316" i="3" a="1"/>
  <c r="D316" i="3" s="1"/>
  <c r="E313" i="3" a="1"/>
  <c r="E313" i="3" s="1"/>
  <c r="D313" i="3" a="1"/>
  <c r="D313" i="3" s="1"/>
  <c r="E312" i="3" a="1"/>
  <c r="E312" i="3" s="1"/>
  <c r="D312" i="3" a="1"/>
  <c r="D312" i="3" s="1"/>
  <c r="E308" i="3" a="1"/>
  <c r="E308" i="3" s="1"/>
  <c r="D308" i="3" a="1"/>
  <c r="D308" i="3" s="1"/>
  <c r="E307" i="3" a="1"/>
  <c r="E307" i="3" s="1"/>
  <c r="D307" i="3" a="1"/>
  <c r="D307" i="3" s="1"/>
  <c r="E306" i="3" a="1"/>
  <c r="E306" i="3" s="1"/>
  <c r="D306" i="3" a="1"/>
  <c r="D306" i="3" s="1"/>
  <c r="E305" i="3" a="1"/>
  <c r="E305" i="3" s="1"/>
  <c r="D305" i="3" a="1"/>
  <c r="D305" i="3" s="1"/>
  <c r="E304" i="3" a="1"/>
  <c r="E304" i="3" s="1"/>
  <c r="D304" i="3" a="1"/>
  <c r="D304" i="3" s="1"/>
  <c r="E303" i="3" a="1"/>
  <c r="E303" i="3" s="1"/>
  <c r="E302" i="3" s="1"/>
  <c r="D303" i="3" a="1"/>
  <c r="D303" i="3" s="1"/>
  <c r="D302" i="3" s="1"/>
  <c r="E300" i="3" a="1"/>
  <c r="E300" i="3" s="1"/>
  <c r="D300" i="3" a="1"/>
  <c r="D300" i="3" s="1"/>
  <c r="E298" i="3" a="1"/>
  <c r="E298" i="3" s="1"/>
  <c r="D298" i="3" a="1"/>
  <c r="D298" i="3" s="1"/>
  <c r="E297" i="3" a="1"/>
  <c r="E297" i="3" s="1"/>
  <c r="E296" i="3" s="1"/>
  <c r="D297" i="3" a="1"/>
  <c r="D297" i="3" s="1"/>
  <c r="D296" i="3" s="1"/>
  <c r="E294" i="3" a="1"/>
  <c r="E294" i="3" s="1"/>
  <c r="E293" i="3" s="1"/>
  <c r="D294" i="3" a="1"/>
  <c r="D294" i="3" s="1"/>
  <c r="D293" i="3" s="1"/>
  <c r="E292" i="3" a="1"/>
  <c r="E292" i="3" s="1"/>
  <c r="E289" i="3" s="1"/>
  <c r="D292" i="3" a="1"/>
  <c r="D292" i="3" s="1"/>
  <c r="D289" i="3" s="1"/>
  <c r="E288" i="3" a="1"/>
  <c r="E288" i="3" s="1"/>
  <c r="D288" i="3" a="1"/>
  <c r="D288" i="3" s="1"/>
  <c r="E287" i="3" a="1"/>
  <c r="E287" i="3" s="1"/>
  <c r="E285" i="3" s="1"/>
  <c r="D287" i="3" a="1"/>
  <c r="D287" i="3" s="1"/>
  <c r="D285" i="3" s="1"/>
  <c r="E283" i="3" a="1"/>
  <c r="E283" i="3" s="1"/>
  <c r="E282" i="3" s="1"/>
  <c r="D283" i="3" a="1"/>
  <c r="D283" i="3" s="1"/>
  <c r="D282" i="3" s="1"/>
  <c r="E273" i="3" a="1"/>
  <c r="E273" i="3" s="1"/>
  <c r="D273" i="3" a="1"/>
  <c r="D273" i="3" s="1"/>
  <c r="E272" i="3" a="1"/>
  <c r="E272" i="3" s="1"/>
  <c r="E271" i="3" s="1"/>
  <c r="E245" i="3" s="1"/>
  <c r="D272" i="3" a="1"/>
  <c r="D272" i="3" s="1"/>
  <c r="D271" i="3" s="1"/>
  <c r="D245" i="3" s="1"/>
  <c r="E265" i="3"/>
  <c r="D265" i="3"/>
  <c r="E261" i="3"/>
  <c r="D261" i="3"/>
  <c r="E257" i="3"/>
  <c r="D257" i="3"/>
  <c r="E255" i="3" a="1"/>
  <c r="E255" i="3" s="1"/>
  <c r="D255" i="3" a="1"/>
  <c r="D255" i="3" s="1"/>
  <c r="E251" i="3" a="1"/>
  <c r="E251" i="3" s="1"/>
  <c r="D251" i="3" a="1"/>
  <c r="D251" i="3" s="1"/>
  <c r="E250" i="3" a="1"/>
  <c r="E250" i="3" s="1"/>
  <c r="D250" i="3" a="1"/>
  <c r="D250" i="3" s="1"/>
  <c r="E248" i="3" a="1"/>
  <c r="E248" i="3" s="1"/>
  <c r="D248" i="3" a="1"/>
  <c r="D248" i="3" s="1"/>
  <c r="E247" i="3" a="1"/>
  <c r="E247" i="3" s="1"/>
  <c r="D247" i="3" a="1"/>
  <c r="D247" i="3" s="1"/>
  <c r="E246" i="3" a="1"/>
  <c r="E246" i="3" s="1"/>
  <c r="D246" i="3" a="1"/>
  <c r="D246" i="3" s="1"/>
  <c r="E244" i="3" a="1"/>
  <c r="E244" i="3" s="1"/>
  <c r="E243" i="3" s="1"/>
  <c r="D244" i="3" a="1"/>
  <c r="D244" i="3" s="1"/>
  <c r="D243" i="3" s="1"/>
  <c r="E240" i="3" a="1"/>
  <c r="E240" i="3" s="1"/>
  <c r="E239" i="3" s="1"/>
  <c r="D240" i="3" a="1"/>
  <c r="D240" i="3" s="1"/>
  <c r="D239" i="3" s="1"/>
  <c r="E235" i="3"/>
  <c r="D235" i="3"/>
  <c r="E233" i="3" a="1"/>
  <c r="E233" i="3" s="1"/>
  <c r="D233" i="3" a="1"/>
  <c r="D233" i="3" s="1"/>
  <c r="E229" i="3" a="1"/>
  <c r="E229" i="3" s="1"/>
  <c r="D229" i="3" a="1"/>
  <c r="D229" i="3" s="1"/>
  <c r="E228" i="3" a="1"/>
  <c r="E228" i="3" s="1"/>
  <c r="D228" i="3" a="1"/>
  <c r="D228" i="3" s="1"/>
  <c r="E225" i="3" a="1"/>
  <c r="E225" i="3" s="1"/>
  <c r="D225" i="3" a="1"/>
  <c r="D225" i="3" s="1"/>
  <c r="E224" i="3" a="1"/>
  <c r="E224" i="3" s="1"/>
  <c r="D224" i="3" a="1"/>
  <c r="D224" i="3" s="1"/>
  <c r="E223" i="3" a="1"/>
  <c r="E223" i="3" s="1"/>
  <c r="D223" i="3" a="1"/>
  <c r="D223" i="3" s="1"/>
  <c r="E222" i="3" a="1"/>
  <c r="E222" i="3" s="1"/>
  <c r="D222" i="3" a="1"/>
  <c r="D222" i="3" s="1"/>
  <c r="E221" i="3" a="1"/>
  <c r="E221" i="3" s="1"/>
  <c r="D221" i="3" a="1"/>
  <c r="D221" i="3" s="1"/>
  <c r="E220" i="3" a="1"/>
  <c r="E220" i="3" s="1"/>
  <c r="E219" i="3" s="1"/>
  <c r="D220" i="3" a="1"/>
  <c r="D220" i="3" s="1"/>
  <c r="D219" i="3" s="1"/>
  <c r="E217" i="3" a="1"/>
  <c r="E217" i="3" s="1"/>
  <c r="D217" i="3" a="1"/>
  <c r="D217" i="3" s="1"/>
  <c r="E215" i="3" a="1"/>
  <c r="E215" i="3" s="1"/>
  <c r="D215" i="3" a="1"/>
  <c r="D215" i="3" s="1"/>
  <c r="E214" i="3" a="1"/>
  <c r="E214" i="3" s="1"/>
  <c r="E213" i="3" s="1"/>
  <c r="D214" i="3" a="1"/>
  <c r="D214" i="3" s="1"/>
  <c r="D213" i="3" s="1"/>
  <c r="E211" i="3" a="1"/>
  <c r="E211" i="3" s="1"/>
  <c r="E210" i="3" s="1"/>
  <c r="D211" i="3" a="1"/>
  <c r="D211" i="3" s="1"/>
  <c r="D210" i="3" s="1"/>
  <c r="E209" i="3" a="1"/>
  <c r="E209" i="3" s="1"/>
  <c r="E206" i="3" s="1"/>
  <c r="D209" i="3" a="1"/>
  <c r="D209" i="3" s="1"/>
  <c r="D206" i="3" s="1"/>
  <c r="E205" i="3" a="1"/>
  <c r="E205" i="3" s="1"/>
  <c r="D205" i="3" a="1"/>
  <c r="D205" i="3" s="1"/>
  <c r="E204" i="3" a="1"/>
  <c r="E204" i="3" s="1"/>
  <c r="E202" i="3" s="1"/>
  <c r="D204" i="3" a="1"/>
  <c r="D204" i="3" s="1"/>
  <c r="D202" i="3" s="1"/>
  <c r="E200" i="3" a="1"/>
  <c r="E200" i="3" s="1"/>
  <c r="E199" i="3" s="1"/>
  <c r="D200" i="3" a="1"/>
  <c r="D200" i="3" s="1"/>
  <c r="D199" i="3" s="1"/>
  <c r="E180" i="3" a="1"/>
  <c r="E180" i="3" s="1"/>
  <c r="D180" i="3" a="1"/>
  <c r="D180" i="3" s="1"/>
  <c r="E179" i="3" a="1"/>
  <c r="E179" i="3" s="1"/>
  <c r="D179" i="3" a="1"/>
  <c r="D179" i="3" s="1"/>
  <c r="E178" i="3" a="1"/>
  <c r="E178" i="3" s="1"/>
  <c r="D178" i="3" a="1"/>
  <c r="D178" i="3" s="1"/>
  <c r="E177" i="3" a="1"/>
  <c r="E177" i="3" s="1"/>
  <c r="D177" i="3" a="1"/>
  <c r="D177" i="3" s="1"/>
  <c r="E176" i="3" a="1"/>
  <c r="E176" i="3" s="1"/>
  <c r="E175" i="3" s="1"/>
  <c r="D176" i="3" a="1"/>
  <c r="D176" i="3" s="1"/>
  <c r="D175" i="3" s="1"/>
  <c r="E174" i="3" a="1"/>
  <c r="E174" i="3" s="1"/>
  <c r="D174" i="3" a="1"/>
  <c r="D174" i="3" s="1"/>
  <c r="E173" i="3" a="1"/>
  <c r="E173" i="3" s="1"/>
  <c r="D173" i="3" a="1"/>
  <c r="D173" i="3" s="1"/>
  <c r="E172" i="3" a="1"/>
  <c r="E172" i="3" s="1"/>
  <c r="E171" i="3" s="1"/>
  <c r="D172" i="3" a="1"/>
  <c r="D172" i="3" s="1"/>
  <c r="D171" i="3" s="1"/>
  <c r="E170" i="3" a="1"/>
  <c r="E170" i="3" s="1"/>
  <c r="D170" i="3" a="1"/>
  <c r="D170" i="3" s="1"/>
  <c r="E169" i="3" a="1"/>
  <c r="E169" i="3" s="1"/>
  <c r="D169" i="3" a="1"/>
  <c r="D169" i="3" s="1"/>
  <c r="E168" i="3" a="1"/>
  <c r="E168" i="3" s="1"/>
  <c r="D168" i="3" a="1"/>
  <c r="D168" i="3" s="1"/>
  <c r="E167" i="3" a="1"/>
  <c r="E167" i="3" s="1"/>
  <c r="D167" i="3" a="1"/>
  <c r="D167" i="3" s="1"/>
  <c r="E166" i="3" a="1"/>
  <c r="E166" i="3" s="1"/>
  <c r="E165" i="3" s="1"/>
  <c r="D166" i="3" a="1"/>
  <c r="D166" i="3" s="1"/>
  <c r="D165" i="3" s="1"/>
  <c r="E164" i="3" a="1"/>
  <c r="E164" i="3" s="1"/>
  <c r="D164" i="3" a="1"/>
  <c r="D164" i="3" s="1"/>
  <c r="E163" i="3" a="1"/>
  <c r="E163" i="3" s="1"/>
  <c r="D163" i="3" a="1"/>
  <c r="D163" i="3" s="1"/>
  <c r="E162" i="3" a="1"/>
  <c r="E162" i="3" s="1"/>
  <c r="E161" i="3" s="1"/>
  <c r="D162" i="3" a="1"/>
  <c r="D162" i="3" s="1"/>
  <c r="D161" i="3" s="1"/>
  <c r="C384" i="3" a="1"/>
  <c r="C384" i="3" s="1"/>
  <c r="B384" i="3" a="1"/>
  <c r="B384" i="3" s="1"/>
  <c r="C383" i="3" a="1"/>
  <c r="C383" i="3" s="1"/>
  <c r="B383" i="3" a="1"/>
  <c r="B383" i="3" s="1"/>
  <c r="C382" i="3" a="1"/>
  <c r="C382" i="3" s="1"/>
  <c r="B382" i="3" a="1"/>
  <c r="B382" i="3" s="1"/>
  <c r="C381" i="3" a="1"/>
  <c r="C381" i="3" s="1"/>
  <c r="B381" i="3" a="1"/>
  <c r="B381" i="3" s="1"/>
  <c r="C380" i="3" a="1"/>
  <c r="C380" i="3" s="1"/>
  <c r="C385" i="3" s="1"/>
  <c r="B380" i="3" a="1"/>
  <c r="B380" i="3" s="1"/>
  <c r="B385" i="3" s="1"/>
  <c r="C374" i="3" a="1"/>
  <c r="C374" i="3" s="1"/>
  <c r="B374" i="3" a="1"/>
  <c r="B374" i="3" s="1"/>
  <c r="C373" i="3" a="1"/>
  <c r="C373" i="3" s="1"/>
  <c r="B373" i="3" a="1"/>
  <c r="B373" i="3" s="1"/>
  <c r="C372" i="3" a="1"/>
  <c r="C372" i="3" s="1"/>
  <c r="B372" i="3" a="1"/>
  <c r="B372" i="3" s="1"/>
  <c r="C371" i="3" a="1"/>
  <c r="C371" i="3" s="1"/>
  <c r="B371" i="3" a="1"/>
  <c r="B371" i="3" s="1"/>
  <c r="C370" i="3" a="1"/>
  <c r="C370" i="3" s="1"/>
  <c r="B370" i="3" a="1"/>
  <c r="B370" i="3" s="1"/>
  <c r="C369" i="3" a="1"/>
  <c r="C369" i="3" s="1"/>
  <c r="B369" i="3" a="1"/>
  <c r="B369" i="3" s="1"/>
  <c r="C368" i="3" a="1"/>
  <c r="C368" i="3" s="1"/>
  <c r="B368" i="3" a="1"/>
  <c r="B368" i="3" s="1"/>
  <c r="C367" i="3" a="1"/>
  <c r="C367" i="3" s="1"/>
  <c r="B367" i="3" a="1"/>
  <c r="B367" i="3" s="1"/>
  <c r="C366" i="3" a="1"/>
  <c r="C366" i="3" s="1"/>
  <c r="B366" i="3" a="1"/>
  <c r="B366" i="3" s="1"/>
  <c r="C365" i="3" a="1"/>
  <c r="C365" i="3" s="1"/>
  <c r="B365" i="3" a="1"/>
  <c r="B365" i="3" s="1"/>
  <c r="C364" i="3" a="1"/>
  <c r="C364" i="3" s="1"/>
  <c r="B364" i="3" a="1"/>
  <c r="B364" i="3" s="1"/>
  <c r="C363" i="3" a="1"/>
  <c r="C363" i="3" s="1"/>
  <c r="B363" i="3" a="1"/>
  <c r="B363" i="3" s="1"/>
  <c r="C362" i="3" a="1"/>
  <c r="C362" i="3" s="1"/>
  <c r="C375" i="3" s="1"/>
  <c r="B362" i="3" a="1"/>
  <c r="B362" i="3" s="1"/>
  <c r="B375" i="3" s="1"/>
  <c r="C354" i="3"/>
  <c r="B354" i="3"/>
  <c r="C348" i="3"/>
  <c r="B348" i="3"/>
  <c r="C344" i="3"/>
  <c r="B344" i="3"/>
  <c r="C340" i="3"/>
  <c r="B340" i="3"/>
  <c r="C338" i="3" a="1"/>
  <c r="C338" i="3" s="1"/>
  <c r="B338" i="3" a="1"/>
  <c r="B338" i="3" s="1"/>
  <c r="C334" i="3" a="1"/>
  <c r="C334" i="3" s="1"/>
  <c r="B334" i="3" a="1"/>
  <c r="B334" i="3" s="1"/>
  <c r="C333" i="3" a="1"/>
  <c r="C333" i="3" s="1"/>
  <c r="B333" i="3" a="1"/>
  <c r="B333" i="3" s="1"/>
  <c r="C331" i="3" a="1"/>
  <c r="C331" i="3" s="1"/>
  <c r="B331" i="3" a="1"/>
  <c r="B331" i="3" s="1"/>
  <c r="C330" i="3" a="1"/>
  <c r="C330" i="3" s="1"/>
  <c r="B330" i="3" a="1"/>
  <c r="B330" i="3" s="1"/>
  <c r="C329" i="3" a="1"/>
  <c r="C329" i="3" s="1"/>
  <c r="B329" i="3" a="1"/>
  <c r="B329" i="3" s="1"/>
  <c r="C328" i="3" a="1"/>
  <c r="C328" i="3" s="1"/>
  <c r="B328" i="3" a="1"/>
  <c r="B328" i="3" s="1"/>
  <c r="C327" i="3" a="1"/>
  <c r="C327" i="3" s="1"/>
  <c r="C326" i="3" s="1"/>
  <c r="B327" i="3" a="1"/>
  <c r="B327" i="3" s="1"/>
  <c r="B326" i="3" s="1"/>
  <c r="C323" i="3" a="1"/>
  <c r="C323" i="3" s="1"/>
  <c r="C322" i="3" s="1"/>
  <c r="B323" i="3" a="1"/>
  <c r="B323" i="3" s="1"/>
  <c r="B322" i="3" s="1"/>
  <c r="C318" i="3"/>
  <c r="B318" i="3"/>
  <c r="C316" i="3" a="1"/>
  <c r="C316" i="3" s="1"/>
  <c r="B316" i="3" a="1"/>
  <c r="B316" i="3" s="1"/>
  <c r="C313" i="3" a="1"/>
  <c r="C313" i="3" s="1"/>
  <c r="B313" i="3" a="1"/>
  <c r="B313" i="3" s="1"/>
  <c r="C312" i="3" a="1"/>
  <c r="C312" i="3" s="1"/>
  <c r="B312" i="3" a="1"/>
  <c r="B312" i="3" s="1"/>
  <c r="C308" i="3" a="1"/>
  <c r="C308" i="3" s="1"/>
  <c r="B308" i="3" a="1"/>
  <c r="B308" i="3" s="1"/>
  <c r="C307" i="3" a="1"/>
  <c r="C307" i="3" s="1"/>
  <c r="B307" i="3" a="1"/>
  <c r="B307" i="3" s="1"/>
  <c r="C306" i="3" a="1"/>
  <c r="C306" i="3" s="1"/>
  <c r="B306" i="3" a="1"/>
  <c r="B306" i="3" s="1"/>
  <c r="C305" i="3" a="1"/>
  <c r="C305" i="3" s="1"/>
  <c r="B305" i="3" a="1"/>
  <c r="B305" i="3" s="1"/>
  <c r="C304" i="3" a="1"/>
  <c r="C304" i="3" s="1"/>
  <c r="B304" i="3" a="1"/>
  <c r="B304" i="3" s="1"/>
  <c r="C303" i="3" a="1"/>
  <c r="C303" i="3" s="1"/>
  <c r="C302" i="3" s="1"/>
  <c r="B303" i="3" a="1"/>
  <c r="B303" i="3" s="1"/>
  <c r="B302" i="3" s="1"/>
  <c r="C300" i="3" a="1"/>
  <c r="C300" i="3" s="1"/>
  <c r="B300" i="3" a="1"/>
  <c r="B300" i="3" s="1"/>
  <c r="C298" i="3" a="1"/>
  <c r="C298" i="3" s="1"/>
  <c r="B298" i="3" a="1"/>
  <c r="B298" i="3" s="1"/>
  <c r="C297" i="3" a="1"/>
  <c r="C297" i="3" s="1"/>
  <c r="C296" i="3" s="1"/>
  <c r="B297" i="3" a="1"/>
  <c r="B297" i="3" s="1"/>
  <c r="B296" i="3" s="1"/>
  <c r="C294" i="3" a="1"/>
  <c r="C294" i="3" s="1"/>
  <c r="C293" i="3" s="1"/>
  <c r="B294" i="3" a="1"/>
  <c r="B294" i="3" s="1"/>
  <c r="B293" i="3" s="1"/>
  <c r="C292" i="3" a="1"/>
  <c r="C292" i="3" s="1"/>
  <c r="C289" i="3" s="1"/>
  <c r="B292" i="3" a="1"/>
  <c r="B292" i="3" s="1"/>
  <c r="B289" i="3" s="1"/>
  <c r="C288" i="3" a="1"/>
  <c r="C288" i="3" s="1"/>
  <c r="B288" i="3" a="1"/>
  <c r="B288" i="3" s="1"/>
  <c r="C287" i="3" a="1"/>
  <c r="C287" i="3" s="1"/>
  <c r="C285" i="3" s="1"/>
  <c r="B287" i="3" a="1"/>
  <c r="B287" i="3" s="1"/>
  <c r="B285" i="3" s="1"/>
  <c r="C283" i="3" a="1"/>
  <c r="C283" i="3" s="1"/>
  <c r="C282" i="3" s="1"/>
  <c r="B283" i="3" a="1"/>
  <c r="B283" i="3" s="1"/>
  <c r="B282" i="3" s="1"/>
  <c r="C273" i="3" a="1"/>
  <c r="C273" i="3" s="1"/>
  <c r="B273" i="3" a="1"/>
  <c r="B273" i="3" s="1"/>
  <c r="C272" i="3" a="1"/>
  <c r="C272" i="3" s="1"/>
  <c r="C271" i="3" s="1"/>
  <c r="C245" i="3" s="1"/>
  <c r="B272" i="3" a="1"/>
  <c r="B272" i="3" s="1"/>
  <c r="B271" i="3" s="1"/>
  <c r="B245" i="3" s="1"/>
  <c r="C265" i="3"/>
  <c r="B265" i="3"/>
  <c r="C261" i="3"/>
  <c r="B261" i="3"/>
  <c r="C257" i="3"/>
  <c r="B257" i="3"/>
  <c r="C255" i="3" a="1"/>
  <c r="C255" i="3" s="1"/>
  <c r="B255" i="3" a="1"/>
  <c r="B255" i="3" s="1"/>
  <c r="C251" i="3" a="1"/>
  <c r="C251" i="3" s="1"/>
  <c r="B251" i="3" a="1"/>
  <c r="B251" i="3" s="1"/>
  <c r="C250" i="3" a="1"/>
  <c r="C250" i="3" s="1"/>
  <c r="B250" i="3" a="1"/>
  <c r="B250" i="3" s="1"/>
  <c r="C248" i="3" a="1"/>
  <c r="C248" i="3" s="1"/>
  <c r="B248" i="3" a="1"/>
  <c r="B248" i="3" s="1"/>
  <c r="C247" i="3" a="1"/>
  <c r="C247" i="3" s="1"/>
  <c r="B247" i="3" a="1"/>
  <c r="B247" i="3" s="1"/>
  <c r="C246" i="3" a="1"/>
  <c r="C246" i="3" s="1"/>
  <c r="B246" i="3" a="1"/>
  <c r="B246" i="3" s="1"/>
  <c r="C244" i="3" a="1"/>
  <c r="C244" i="3" s="1"/>
  <c r="C243" i="3" s="1"/>
  <c r="B244" i="3" a="1"/>
  <c r="B244" i="3" s="1"/>
  <c r="B243" i="3" s="1"/>
  <c r="C240" i="3" a="1"/>
  <c r="C240" i="3" s="1"/>
  <c r="C239" i="3" s="1"/>
  <c r="B240" i="3" a="1"/>
  <c r="B240" i="3" s="1"/>
  <c r="B239" i="3" s="1"/>
  <c r="C235" i="3"/>
  <c r="B235" i="3"/>
  <c r="C233" i="3" a="1"/>
  <c r="C233" i="3" s="1"/>
  <c r="B233" i="3" a="1"/>
  <c r="B233" i="3" s="1"/>
  <c r="C229" i="3" a="1"/>
  <c r="C229" i="3" s="1"/>
  <c r="B229" i="3" a="1"/>
  <c r="B229" i="3" s="1"/>
  <c r="C228" i="3" a="1"/>
  <c r="C228" i="3" s="1"/>
  <c r="B228" i="3" a="1"/>
  <c r="B228" i="3" s="1"/>
  <c r="C225" i="3" a="1"/>
  <c r="C225" i="3" s="1"/>
  <c r="B225" i="3" a="1"/>
  <c r="B225" i="3" s="1"/>
  <c r="C224" i="3" a="1"/>
  <c r="C224" i="3" s="1"/>
  <c r="B224" i="3" a="1"/>
  <c r="B224" i="3" s="1"/>
  <c r="C223" i="3" a="1"/>
  <c r="C223" i="3" s="1"/>
  <c r="B223" i="3" a="1"/>
  <c r="B223" i="3" s="1"/>
  <c r="C222" i="3" a="1"/>
  <c r="C222" i="3" s="1"/>
  <c r="B222" i="3" a="1"/>
  <c r="B222" i="3" s="1"/>
  <c r="C221" i="3" a="1"/>
  <c r="C221" i="3" s="1"/>
  <c r="B221" i="3" a="1"/>
  <c r="B221" i="3" s="1"/>
  <c r="C220" i="3" a="1"/>
  <c r="C220" i="3" s="1"/>
  <c r="C219" i="3" s="1"/>
  <c r="B220" i="3" a="1"/>
  <c r="B220" i="3" s="1"/>
  <c r="B219" i="3" s="1"/>
  <c r="C217" i="3" a="1"/>
  <c r="C217" i="3" s="1"/>
  <c r="B217" i="3" a="1"/>
  <c r="B217" i="3" s="1"/>
  <c r="C215" i="3" a="1"/>
  <c r="C215" i="3" s="1"/>
  <c r="B215" i="3" a="1"/>
  <c r="B215" i="3" s="1"/>
  <c r="C214" i="3" a="1"/>
  <c r="C214" i="3" s="1"/>
  <c r="C213" i="3" s="1"/>
  <c r="B214" i="3" a="1"/>
  <c r="B214" i="3" s="1"/>
  <c r="B213" i="3" s="1"/>
  <c r="C211" i="3" a="1"/>
  <c r="C211" i="3" s="1"/>
  <c r="C210" i="3" s="1"/>
  <c r="B211" i="3" a="1"/>
  <c r="B211" i="3" s="1"/>
  <c r="B210" i="3" s="1"/>
  <c r="C209" i="3" a="1"/>
  <c r="C209" i="3" s="1"/>
  <c r="C206" i="3" s="1"/>
  <c r="B209" i="3" a="1"/>
  <c r="B209" i="3" s="1"/>
  <c r="B206" i="3" s="1"/>
  <c r="C205" i="3" a="1"/>
  <c r="C205" i="3" s="1"/>
  <c r="B205" i="3" a="1"/>
  <c r="B205" i="3" s="1"/>
  <c r="C204" i="3" a="1"/>
  <c r="C204" i="3" s="1"/>
  <c r="C202" i="3" s="1"/>
  <c r="B204" i="3" a="1"/>
  <c r="B204" i="3" s="1"/>
  <c r="B202" i="3" s="1"/>
  <c r="C200" i="3" a="1"/>
  <c r="C200" i="3" s="1"/>
  <c r="C199" i="3" s="1"/>
  <c r="B200" i="3" a="1"/>
  <c r="B200" i="3" s="1"/>
  <c r="B199" i="3" s="1"/>
  <c r="C180" i="3" a="1"/>
  <c r="C180" i="3" s="1"/>
  <c r="B180" i="3" a="1"/>
  <c r="B180" i="3" s="1"/>
  <c r="C179" i="3" a="1"/>
  <c r="C179" i="3" s="1"/>
  <c r="B179" i="3" a="1"/>
  <c r="B179" i="3" s="1"/>
  <c r="C178" i="3" a="1"/>
  <c r="C178" i="3" s="1"/>
  <c r="B178" i="3" a="1"/>
  <c r="B178" i="3" s="1"/>
  <c r="C177" i="3" a="1"/>
  <c r="C177" i="3" s="1"/>
  <c r="B177" i="3" a="1"/>
  <c r="B177" i="3" s="1"/>
  <c r="C176" i="3" a="1"/>
  <c r="C176" i="3" s="1"/>
  <c r="C175" i="3" s="1"/>
  <c r="B176" i="3" a="1"/>
  <c r="B176" i="3" s="1"/>
  <c r="B175" i="3" s="1"/>
  <c r="C174" i="3" a="1"/>
  <c r="C174" i="3" s="1"/>
  <c r="B174" i="3" a="1"/>
  <c r="B174" i="3" s="1"/>
  <c r="C173" i="3" a="1"/>
  <c r="C173" i="3" s="1"/>
  <c r="B173" i="3" a="1"/>
  <c r="B173" i="3" s="1"/>
  <c r="C172" i="3" a="1"/>
  <c r="C172" i="3" s="1"/>
  <c r="C171" i="3" s="1"/>
  <c r="B172" i="3" a="1"/>
  <c r="B172" i="3" s="1"/>
  <c r="B171" i="3" s="1"/>
  <c r="C170" i="3" a="1"/>
  <c r="C170" i="3" s="1"/>
  <c r="B170" i="3" a="1"/>
  <c r="B170" i="3" s="1"/>
  <c r="C169" i="3" a="1"/>
  <c r="C169" i="3" s="1"/>
  <c r="B169" i="3" a="1"/>
  <c r="B169" i="3" s="1"/>
  <c r="C168" i="3" a="1"/>
  <c r="C168" i="3" s="1"/>
  <c r="B168" i="3" a="1"/>
  <c r="B168" i="3" s="1"/>
  <c r="C167" i="3" a="1"/>
  <c r="C167" i="3" s="1"/>
  <c r="B167" i="3" a="1"/>
  <c r="B167" i="3" s="1"/>
  <c r="C166" i="3" a="1"/>
  <c r="C166" i="3" s="1"/>
  <c r="C165" i="3" s="1"/>
  <c r="B166" i="3" a="1"/>
  <c r="B166" i="3" s="1"/>
  <c r="B165" i="3" s="1"/>
  <c r="C164" i="3" a="1"/>
  <c r="C164" i="3" s="1"/>
  <c r="B164" i="3" a="1"/>
  <c r="B164" i="3" s="1"/>
  <c r="C163" i="3" a="1"/>
  <c r="C163" i="3" s="1"/>
  <c r="B163" i="3" a="1"/>
  <c r="B163" i="3" s="1"/>
  <c r="C162" i="3" a="1"/>
  <c r="C162" i="3" s="1"/>
  <c r="C161" i="3" s="1"/>
  <c r="B162" i="3" a="1"/>
  <c r="B162" i="3" s="1"/>
  <c r="B161" i="3" s="1"/>
  <c r="AP348" i="3"/>
  <c r="AO348" i="3"/>
  <c r="AP344" i="3"/>
  <c r="AO344" i="3"/>
  <c r="AP340" i="3"/>
  <c r="AO340" i="3"/>
  <c r="AP318" i="3"/>
  <c r="AO318" i="3"/>
  <c r="AP265" i="3"/>
  <c r="AO265" i="3"/>
  <c r="AP261" i="3"/>
  <c r="AO261" i="3"/>
  <c r="AP257" i="3"/>
  <c r="AO257" i="3"/>
  <c r="AP235" i="3"/>
  <c r="AO235" i="3"/>
  <c r="F384" i="3" a="1"/>
  <c r="F384" i="3" s="1"/>
  <c r="F383" i="3" a="1"/>
  <c r="F383" i="3" s="1"/>
  <c r="F382" i="3" a="1"/>
  <c r="F382" i="3" s="1"/>
  <c r="F381" i="3" a="1"/>
  <c r="F381" i="3" s="1"/>
  <c r="F380" i="3" a="1"/>
  <c r="F380" i="3" s="1"/>
  <c r="F385" i="3" s="1"/>
  <c r="F354" i="3"/>
  <c r="H348" i="3"/>
  <c r="F348" i="3"/>
  <c r="H344" i="3"/>
  <c r="F344" i="3"/>
  <c r="H340" i="3"/>
  <c r="F340" i="3"/>
  <c r="F338" i="3" a="1"/>
  <c r="F338" i="3" s="1"/>
  <c r="F334" i="3" a="1"/>
  <c r="F334" i="3" s="1"/>
  <c r="F333" i="3" a="1"/>
  <c r="F333" i="3" s="1"/>
  <c r="F331" i="3" a="1"/>
  <c r="F331" i="3" s="1"/>
  <c r="F330" i="3" a="1"/>
  <c r="F330" i="3" s="1"/>
  <c r="F329" i="3" a="1"/>
  <c r="F329" i="3" s="1"/>
  <c r="F328" i="3" a="1"/>
  <c r="F328" i="3" s="1"/>
  <c r="F327" i="3" a="1"/>
  <c r="F327" i="3" s="1"/>
  <c r="F326" i="3" s="1"/>
  <c r="F323" i="3" a="1"/>
  <c r="F323" i="3" s="1"/>
  <c r="F322" i="3" s="1"/>
  <c r="H318" i="3"/>
  <c r="F318" i="3"/>
  <c r="F316" i="3" a="1"/>
  <c r="F316" i="3" s="1"/>
  <c r="F313" i="3" a="1"/>
  <c r="F313" i="3" s="1"/>
  <c r="F312" i="3" a="1"/>
  <c r="F312" i="3" s="1"/>
  <c r="F308" i="3" a="1"/>
  <c r="F308" i="3" s="1"/>
  <c r="F307" i="3" a="1"/>
  <c r="F307" i="3" s="1"/>
  <c r="F306" i="3" a="1"/>
  <c r="F306" i="3" s="1"/>
  <c r="F305" i="3" a="1"/>
  <c r="F305" i="3" s="1"/>
  <c r="F304" i="3" a="1"/>
  <c r="F304" i="3" s="1"/>
  <c r="F303" i="3" a="1"/>
  <c r="F303" i="3" s="1"/>
  <c r="F302" i="3" s="1"/>
  <c r="F300" i="3" a="1"/>
  <c r="F300" i="3" s="1"/>
  <c r="F298" i="3" a="1"/>
  <c r="F298" i="3" s="1"/>
  <c r="F297" i="3" a="1"/>
  <c r="F297" i="3" s="1"/>
  <c r="F296" i="3" s="1"/>
  <c r="F294" i="3" a="1"/>
  <c r="F294" i="3" s="1"/>
  <c r="F293" i="3" s="1"/>
  <c r="F292" i="3" a="1"/>
  <c r="F292" i="3" s="1"/>
  <c r="F289" i="3" s="1"/>
  <c r="F288" i="3" a="1"/>
  <c r="F288" i="3" s="1"/>
  <c r="F287" i="3" a="1"/>
  <c r="F287" i="3" s="1"/>
  <c r="F285" i="3" s="1"/>
  <c r="F283" i="3" a="1"/>
  <c r="F283" i="3" s="1"/>
  <c r="F282" i="3" s="1"/>
  <c r="F273" i="3" a="1"/>
  <c r="F273" i="3" s="1"/>
  <c r="F272" i="3" a="1"/>
  <c r="F272" i="3" s="1"/>
  <c r="F271" i="3" s="1"/>
  <c r="F245" i="3" s="1"/>
  <c r="H265" i="3"/>
  <c r="F265" i="3"/>
  <c r="H261" i="3"/>
  <c r="F261" i="3"/>
  <c r="H257" i="3"/>
  <c r="F257" i="3"/>
  <c r="F255" i="3" a="1"/>
  <c r="F255" i="3" s="1"/>
  <c r="F251" i="3" a="1"/>
  <c r="F251" i="3" s="1"/>
  <c r="F250" i="3" a="1"/>
  <c r="F250" i="3" s="1"/>
  <c r="F248" i="3" a="1"/>
  <c r="F248" i="3" s="1"/>
  <c r="F247" i="3" a="1"/>
  <c r="F247" i="3" s="1"/>
  <c r="F246" i="3" a="1"/>
  <c r="F246" i="3" s="1"/>
  <c r="F244" i="3" a="1"/>
  <c r="F244" i="3" s="1"/>
  <c r="F243" i="3" s="1"/>
  <c r="F240" i="3" a="1"/>
  <c r="F240" i="3" s="1"/>
  <c r="F239" i="3" s="1"/>
  <c r="H235" i="3"/>
  <c r="F235" i="3"/>
  <c r="F233" i="3" a="1"/>
  <c r="F233" i="3" s="1"/>
  <c r="F229" i="3" a="1"/>
  <c r="F229" i="3" s="1"/>
  <c r="F228" i="3" a="1"/>
  <c r="F228" i="3" s="1"/>
  <c r="F225" i="3" a="1"/>
  <c r="F225" i="3" s="1"/>
  <c r="F224" i="3" a="1"/>
  <c r="F224" i="3" s="1"/>
  <c r="F223" i="3" a="1"/>
  <c r="F223" i="3" s="1"/>
  <c r="F222" i="3" a="1"/>
  <c r="F222" i="3" s="1"/>
  <c r="F221" i="3" a="1"/>
  <c r="F221" i="3" s="1"/>
  <c r="F220" i="3" a="1"/>
  <c r="F220" i="3" s="1"/>
  <c r="F219" i="3" s="1"/>
  <c r="F217" i="3" a="1"/>
  <c r="F217" i="3" s="1"/>
  <c r="F215" i="3" a="1"/>
  <c r="F215" i="3" s="1"/>
  <c r="F214" i="3" a="1"/>
  <c r="F214" i="3" s="1"/>
  <c r="F213" i="3" s="1"/>
  <c r="F211" i="3" a="1"/>
  <c r="F211" i="3" s="1"/>
  <c r="F210" i="3" s="1"/>
  <c r="F209" i="3" a="1"/>
  <c r="F209" i="3" s="1"/>
  <c r="F206" i="3" s="1"/>
  <c r="F205" i="3" a="1"/>
  <c r="F205" i="3" s="1"/>
  <c r="F204" i="3" a="1"/>
  <c r="F204" i="3" s="1"/>
  <c r="F202" i="3" s="1"/>
  <c r="F200" i="3" a="1"/>
  <c r="F200" i="3" s="1"/>
  <c r="F199" i="3" s="1"/>
  <c r="F180" i="3" a="1"/>
  <c r="F180" i="3" s="1"/>
  <c r="F179" i="3" a="1"/>
  <c r="F179" i="3" s="1"/>
  <c r="F178" i="3" a="1"/>
  <c r="F178" i="3" s="1"/>
  <c r="F177" i="3" a="1"/>
  <c r="F177" i="3" s="1"/>
  <c r="F176" i="3" a="1"/>
  <c r="F176" i="3" s="1"/>
  <c r="F175" i="3" s="1"/>
  <c r="F174" i="3" a="1"/>
  <c r="F174" i="3" s="1"/>
  <c r="F173" i="3" a="1"/>
  <c r="F173" i="3" s="1"/>
  <c r="F172" i="3" a="1"/>
  <c r="F172" i="3" s="1"/>
  <c r="F171" i="3" s="1"/>
  <c r="F170" i="3" a="1"/>
  <c r="F170" i="3" s="1"/>
  <c r="F169" i="3" a="1"/>
  <c r="F169" i="3" s="1"/>
  <c r="F168" i="3" a="1"/>
  <c r="F168" i="3" s="1"/>
  <c r="F167" i="3" a="1"/>
  <c r="F167" i="3" s="1"/>
  <c r="F166" i="3" a="1"/>
  <c r="F166" i="3" s="1"/>
  <c r="F165" i="3" s="1"/>
  <c r="F164" i="3" a="1"/>
  <c r="F164" i="3" s="1"/>
  <c r="F163" i="3" a="1"/>
  <c r="F163" i="3" s="1"/>
  <c r="F162" i="3" a="1"/>
  <c r="F162" i="3" s="1"/>
  <c r="F161" i="3" s="1"/>
  <c r="DW131" i="2"/>
  <c r="DW64" i="2"/>
  <c r="DY79" i="2"/>
  <c r="AJ79" i="2"/>
  <c r="AH79" i="2"/>
  <c r="H136" i="3"/>
  <c r="H138" i="3" s="1"/>
  <c r="AO136" i="3"/>
  <c r="AO138" i="3" s="1"/>
  <c r="F136" i="3"/>
  <c r="E136" i="3"/>
  <c r="DY220" i="2"/>
  <c r="DY17" i="2"/>
  <c r="DY24" i="2"/>
  <c r="DY69" i="2"/>
  <c r="DY101" i="2"/>
  <c r="DY148" i="2"/>
  <c r="DY201" i="2"/>
  <c r="AK158" i="2"/>
  <c r="AM158" i="2" s="1"/>
  <c r="E139" i="3"/>
  <c r="AJ246" i="2"/>
  <c r="AH246" i="2"/>
  <c r="AJ161" i="2"/>
  <c r="AJ148" i="2"/>
  <c r="AE56" i="2"/>
  <c r="AG56" i="2" s="1"/>
  <c r="AI56" i="2" s="1"/>
  <c r="AH161" i="2"/>
  <c r="AJ101" i="2"/>
  <c r="AH101" i="2"/>
  <c r="AK205" i="2"/>
  <c r="AH132" i="2"/>
  <c r="AJ69" i="2"/>
  <c r="AH69" i="2"/>
  <c r="AJ201" i="2"/>
  <c r="AH201" i="2"/>
  <c r="AJ24" i="2"/>
  <c r="AJ17" i="2"/>
  <c r="CG187" i="2"/>
  <c r="CG201" i="2" s="1"/>
  <c r="G19" i="3"/>
  <c r="G7" i="3"/>
  <c r="DO17" i="2"/>
  <c r="DM17" i="2"/>
  <c r="DK17" i="2"/>
  <c r="DI17" i="2"/>
  <c r="DG17" i="2"/>
  <c r="DE17" i="2"/>
  <c r="DC17" i="2"/>
  <c r="DA17" i="2"/>
  <c r="CZ17" i="2"/>
  <c r="CX17" i="2"/>
  <c r="CW17" i="2"/>
  <c r="CU17" i="2"/>
  <c r="CT17" i="2"/>
  <c r="CP17" i="2"/>
  <c r="CO17" i="2"/>
  <c r="CM17" i="2"/>
  <c r="CK17" i="2"/>
  <c r="CH17" i="2"/>
  <c r="CG17" i="2"/>
  <c r="AH17" i="2"/>
  <c r="AG7" i="2"/>
  <c r="AI245" i="2"/>
  <c r="AH24" i="2"/>
  <c r="CH24" i="2"/>
  <c r="CG24" i="2"/>
  <c r="CG243" i="2"/>
  <c r="AK241" i="2"/>
  <c r="AM241" i="2" s="1"/>
  <c r="CK24" i="2"/>
  <c r="CK69" i="2"/>
  <c r="CK79" i="2"/>
  <c r="CK101" i="2"/>
  <c r="CK148" i="2"/>
  <c r="CK161" i="2"/>
  <c r="CK201" i="2"/>
  <c r="CK246" i="2"/>
  <c r="DP156" i="2"/>
  <c r="DP155" i="2"/>
  <c r="DP153" i="2"/>
  <c r="DR148" i="2"/>
  <c r="DA24" i="2"/>
  <c r="DA69" i="2"/>
  <c r="DA79" i="2"/>
  <c r="DA101" i="2"/>
  <c r="DA148" i="2"/>
  <c r="DA161" i="2"/>
  <c r="DA201" i="2"/>
  <c r="DA246" i="2"/>
  <c r="DB207" i="2"/>
  <c r="DB211" i="2"/>
  <c r="DQ211" i="2" s="1"/>
  <c r="DB212" i="2"/>
  <c r="DB220" i="2"/>
  <c r="DB221" i="2"/>
  <c r="DB222" i="2"/>
  <c r="DB241" i="2"/>
  <c r="DB243" i="2"/>
  <c r="DB245" i="2"/>
  <c r="DQ245" i="2" s="1"/>
  <c r="DV245" i="2" s="1"/>
  <c r="DB205" i="2"/>
  <c r="DB181" i="2"/>
  <c r="DB187" i="2"/>
  <c r="DB188" i="2"/>
  <c r="DB153" i="2"/>
  <c r="DB155" i="2"/>
  <c r="DB156" i="2"/>
  <c r="DB121" i="2"/>
  <c r="DB123" i="2"/>
  <c r="DB124" i="2"/>
  <c r="DB130" i="2"/>
  <c r="DB131" i="2"/>
  <c r="DB132" i="2"/>
  <c r="DB134" i="2"/>
  <c r="DB135" i="2"/>
  <c r="DB140" i="2"/>
  <c r="DB143" i="2"/>
  <c r="DB144" i="2"/>
  <c r="DB145" i="2"/>
  <c r="DB107" i="2"/>
  <c r="DB85" i="2"/>
  <c r="DB86" i="2"/>
  <c r="DB88" i="2"/>
  <c r="DB92" i="2"/>
  <c r="DB94" i="2"/>
  <c r="DB95" i="2"/>
  <c r="DB98" i="2"/>
  <c r="DB28" i="2"/>
  <c r="DB36" i="2"/>
  <c r="DB51" i="2"/>
  <c r="DB54" i="2"/>
  <c r="DB57" i="2"/>
  <c r="DB58" i="2"/>
  <c r="DB59" i="2"/>
  <c r="DB62" i="2"/>
  <c r="DB38" i="2"/>
  <c r="DB39" i="2"/>
  <c r="DB40" i="2"/>
  <c r="DB45" i="2"/>
  <c r="DB32" i="2"/>
  <c r="DB34" i="2"/>
  <c r="DB60" i="2"/>
  <c r="DB47" i="2"/>
  <c r="DB49" i="2"/>
  <c r="DB42" i="2"/>
  <c r="DB41" i="2"/>
  <c r="DB63" i="2"/>
  <c r="DB64" i="2"/>
  <c r="DB52" i="2"/>
  <c r="DB43" i="2"/>
  <c r="DB66" i="2"/>
  <c r="DB55" i="2"/>
  <c r="DB31" i="2"/>
  <c r="DB21" i="2"/>
  <c r="DB22" i="2"/>
  <c r="DQ22" i="2" s="1"/>
  <c r="DB20" i="2"/>
  <c r="DP245" i="2"/>
  <c r="CM246" i="2"/>
  <c r="CO246" i="2"/>
  <c r="CP246" i="2"/>
  <c r="CT246" i="2"/>
  <c r="CU246" i="2"/>
  <c r="CW246" i="2"/>
  <c r="CX246" i="2"/>
  <c r="CZ246" i="2"/>
  <c r="DC246" i="2"/>
  <c r="DE246" i="2"/>
  <c r="DG246" i="2"/>
  <c r="DI246" i="2"/>
  <c r="DK246" i="2"/>
  <c r="DM246" i="2"/>
  <c r="DO246" i="2"/>
  <c r="DR246" i="2"/>
  <c r="CO201" i="2"/>
  <c r="CP201" i="2"/>
  <c r="CT201" i="2"/>
  <c r="CU201" i="2"/>
  <c r="CW201" i="2"/>
  <c r="CX201" i="2"/>
  <c r="CZ201" i="2"/>
  <c r="DC201" i="2"/>
  <c r="DE201" i="2"/>
  <c r="DG201" i="2"/>
  <c r="DI201" i="2"/>
  <c r="DK201" i="2"/>
  <c r="DM201" i="2"/>
  <c r="DO201" i="2"/>
  <c r="DR201" i="2"/>
  <c r="CM161" i="2"/>
  <c r="CO161" i="2"/>
  <c r="CP161" i="2"/>
  <c r="CT161" i="2"/>
  <c r="CU161" i="2"/>
  <c r="CW161" i="2"/>
  <c r="CX161" i="2"/>
  <c r="CZ161" i="2"/>
  <c r="DC161" i="2"/>
  <c r="DE161" i="2"/>
  <c r="DG161" i="2"/>
  <c r="DI161" i="2"/>
  <c r="DK161" i="2"/>
  <c r="DM161" i="2"/>
  <c r="DO161" i="2"/>
  <c r="DR161" i="2"/>
  <c r="CO148" i="2"/>
  <c r="CP148" i="2"/>
  <c r="CT148" i="2"/>
  <c r="CU148" i="2"/>
  <c r="CW148" i="2"/>
  <c r="CX148" i="2"/>
  <c r="DC148" i="2"/>
  <c r="DE148" i="2"/>
  <c r="DG148" i="2"/>
  <c r="DI148" i="2"/>
  <c r="DK148" i="2"/>
  <c r="DM148" i="2"/>
  <c r="DO148" i="2"/>
  <c r="CM101" i="2"/>
  <c r="CO101" i="2"/>
  <c r="CP101" i="2"/>
  <c r="CT101" i="2"/>
  <c r="CU101" i="2"/>
  <c r="CW101" i="2"/>
  <c r="CX101" i="2"/>
  <c r="CZ101" i="2"/>
  <c r="DC101" i="2"/>
  <c r="DE101" i="2"/>
  <c r="DG101" i="2"/>
  <c r="DI101" i="2"/>
  <c r="DK101" i="2"/>
  <c r="DM101" i="2"/>
  <c r="DO101" i="2"/>
  <c r="DR101" i="2"/>
  <c r="CM79" i="2"/>
  <c r="CO79" i="2"/>
  <c r="CP79" i="2"/>
  <c r="CT79" i="2"/>
  <c r="CU79" i="2"/>
  <c r="CW79" i="2"/>
  <c r="CX79" i="2"/>
  <c r="CZ79" i="2"/>
  <c r="DC79" i="2"/>
  <c r="DE79" i="2"/>
  <c r="DG79" i="2"/>
  <c r="DI79" i="2"/>
  <c r="DK79" i="2"/>
  <c r="DM79" i="2"/>
  <c r="DO79" i="2"/>
  <c r="DR79" i="2"/>
  <c r="CM69" i="2"/>
  <c r="CO69" i="2"/>
  <c r="CP69" i="2"/>
  <c r="CT69" i="2"/>
  <c r="CU69" i="2"/>
  <c r="CW69" i="2"/>
  <c r="CX69" i="2"/>
  <c r="CZ69" i="2"/>
  <c r="DC69" i="2"/>
  <c r="DE69" i="2"/>
  <c r="DG69" i="2"/>
  <c r="DI69" i="2"/>
  <c r="DK69" i="2"/>
  <c r="DM69" i="2"/>
  <c r="DO69" i="2"/>
  <c r="DR69" i="2"/>
  <c r="CM24" i="2"/>
  <c r="CO24" i="2"/>
  <c r="CP24" i="2"/>
  <c r="CT24" i="2"/>
  <c r="CU24" i="2"/>
  <c r="CW24" i="2"/>
  <c r="CX24" i="2"/>
  <c r="CZ24" i="2"/>
  <c r="DC24" i="2"/>
  <c r="DE24" i="2"/>
  <c r="DG24" i="2"/>
  <c r="DI24" i="2"/>
  <c r="DK24" i="2"/>
  <c r="DM24" i="2"/>
  <c r="DO24" i="2"/>
  <c r="DR24" i="2"/>
  <c r="DR17" i="2"/>
  <c r="AG211" i="2"/>
  <c r="DU211" i="2" s="1"/>
  <c r="AF69" i="2"/>
  <c r="AF17" i="2"/>
  <c r="AF246" i="2"/>
  <c r="AF201" i="2"/>
  <c r="AF161" i="2"/>
  <c r="AF101" i="2"/>
  <c r="AF79" i="2"/>
  <c r="AF24" i="2"/>
  <c r="AE207" i="2"/>
  <c r="AG207" i="2" s="1"/>
  <c r="AI207" i="2" s="1"/>
  <c r="DP121" i="2"/>
  <c r="DS121" i="2" s="1"/>
  <c r="DP123" i="2"/>
  <c r="DP124" i="2"/>
  <c r="DS124" i="2" s="1"/>
  <c r="DP130" i="2"/>
  <c r="DS130" i="2" s="1"/>
  <c r="DP132" i="2"/>
  <c r="DP134" i="2"/>
  <c r="DP135" i="2"/>
  <c r="DP140" i="2"/>
  <c r="DP143" i="2"/>
  <c r="DP144" i="2"/>
  <c r="DP145" i="2"/>
  <c r="CZ148" i="2"/>
  <c r="CY207" i="2"/>
  <c r="CY212" i="2"/>
  <c r="CY220" i="2"/>
  <c r="CY221" i="2"/>
  <c r="CY222" i="2"/>
  <c r="CY241" i="2"/>
  <c r="CY243" i="2"/>
  <c r="CY205" i="2"/>
  <c r="CY181" i="2"/>
  <c r="CY187" i="2"/>
  <c r="CY188" i="2"/>
  <c r="CY153" i="2"/>
  <c r="CY155" i="2"/>
  <c r="CY156" i="2"/>
  <c r="CY121" i="2"/>
  <c r="CY123" i="2"/>
  <c r="CY124" i="2"/>
  <c r="CY130" i="2"/>
  <c r="CY131" i="2"/>
  <c r="CY132" i="2"/>
  <c r="CY134" i="2"/>
  <c r="CY135" i="2"/>
  <c r="CY140" i="2"/>
  <c r="CY142" i="2"/>
  <c r="CY143" i="2"/>
  <c r="CY144" i="2"/>
  <c r="CY145" i="2"/>
  <c r="CY107" i="2"/>
  <c r="CY85" i="2"/>
  <c r="CY86" i="2"/>
  <c r="CY88" i="2"/>
  <c r="CY92" i="2"/>
  <c r="CY94" i="2"/>
  <c r="CY95" i="2"/>
  <c r="CY98" i="2"/>
  <c r="CY28" i="2"/>
  <c r="CY36" i="2"/>
  <c r="CY51" i="2"/>
  <c r="CY54" i="2"/>
  <c r="CY57" i="2"/>
  <c r="CY58" i="2"/>
  <c r="CY59" i="2"/>
  <c r="CY62" i="2"/>
  <c r="CY38" i="2"/>
  <c r="CY39" i="2"/>
  <c r="CY40" i="2"/>
  <c r="CY45" i="2"/>
  <c r="CY32" i="2"/>
  <c r="CY34" i="2"/>
  <c r="CY60" i="2"/>
  <c r="CY47" i="2"/>
  <c r="CY49" i="2"/>
  <c r="CY42" i="2"/>
  <c r="CY41" i="2"/>
  <c r="CY63" i="2"/>
  <c r="CY64" i="2"/>
  <c r="CY52" i="2"/>
  <c r="CY43" i="2"/>
  <c r="CY66" i="2"/>
  <c r="CY55" i="2"/>
  <c r="CY31" i="2"/>
  <c r="CY21" i="2"/>
  <c r="CY20" i="2"/>
  <c r="CV20" i="2"/>
  <c r="CV21" i="2"/>
  <c r="CV31" i="2"/>
  <c r="CV28" i="2"/>
  <c r="CV36" i="2"/>
  <c r="CV51" i="2"/>
  <c r="CV54" i="2"/>
  <c r="CV57" i="2"/>
  <c r="CV58" i="2"/>
  <c r="CV59" i="2"/>
  <c r="CV62" i="2"/>
  <c r="CV38" i="2"/>
  <c r="CV39" i="2"/>
  <c r="CV40" i="2"/>
  <c r="CV45" i="2"/>
  <c r="CV32" i="2"/>
  <c r="CV34" i="2"/>
  <c r="CV60" i="2"/>
  <c r="CV47" i="2"/>
  <c r="CV49" i="2"/>
  <c r="CV42" i="2"/>
  <c r="CV41" i="2"/>
  <c r="CV63" i="2"/>
  <c r="CV64" i="2"/>
  <c r="CV52" i="2"/>
  <c r="CV43" i="2"/>
  <c r="CV66" i="2"/>
  <c r="CV55" i="2"/>
  <c r="CV85" i="2"/>
  <c r="CV86" i="2"/>
  <c r="CV88" i="2"/>
  <c r="CV92" i="2"/>
  <c r="CV94" i="2"/>
  <c r="CV95" i="2"/>
  <c r="CV98" i="2"/>
  <c r="CV107" i="2"/>
  <c r="CV121" i="2"/>
  <c r="CV123" i="2"/>
  <c r="CV130" i="2"/>
  <c r="CV132" i="2"/>
  <c r="CV134" i="2"/>
  <c r="CV135" i="2"/>
  <c r="CV140" i="2"/>
  <c r="CV142" i="2"/>
  <c r="CV143" i="2"/>
  <c r="CV144" i="2"/>
  <c r="CV145" i="2"/>
  <c r="CV153" i="2"/>
  <c r="CV155" i="2"/>
  <c r="CV156" i="2"/>
  <c r="CV181" i="2"/>
  <c r="CV187" i="2"/>
  <c r="CV188" i="2"/>
  <c r="CV205" i="2"/>
  <c r="CV207" i="2"/>
  <c r="CV212" i="2"/>
  <c r="CV220" i="2"/>
  <c r="CV221" i="2"/>
  <c r="CV222" i="2"/>
  <c r="CV241" i="2"/>
  <c r="CV243" i="2"/>
  <c r="AC140" i="2"/>
  <c r="DP31" i="2"/>
  <c r="DP28" i="2"/>
  <c r="DP36" i="2"/>
  <c r="DP51" i="2"/>
  <c r="DP54" i="2"/>
  <c r="DP57" i="2"/>
  <c r="DP58" i="2"/>
  <c r="DP59" i="2"/>
  <c r="DP62" i="2"/>
  <c r="DP38" i="2"/>
  <c r="DP39" i="2"/>
  <c r="DP40" i="2"/>
  <c r="DP45" i="2"/>
  <c r="DP32" i="2"/>
  <c r="DP34" i="2"/>
  <c r="DP60" i="2"/>
  <c r="DP47" i="2"/>
  <c r="DP49" i="2"/>
  <c r="DP42" i="2"/>
  <c r="DP41" i="2"/>
  <c r="DP63" i="2"/>
  <c r="DP64" i="2"/>
  <c r="DP52" i="2"/>
  <c r="DP43" i="2"/>
  <c r="DP66" i="2"/>
  <c r="DP55" i="2"/>
  <c r="CQ207" i="2"/>
  <c r="CQ212" i="2"/>
  <c r="CQ220" i="2"/>
  <c r="CQ221" i="2"/>
  <c r="CQ222" i="2"/>
  <c r="CQ241" i="2"/>
  <c r="CQ243" i="2"/>
  <c r="CQ205" i="2"/>
  <c r="CQ181" i="2"/>
  <c r="CQ187" i="2"/>
  <c r="CQ188" i="2"/>
  <c r="CQ153" i="2"/>
  <c r="CQ155" i="2"/>
  <c r="CQ156" i="2"/>
  <c r="CQ121" i="2"/>
  <c r="CQ123" i="2"/>
  <c r="CQ124" i="2"/>
  <c r="CQ130" i="2"/>
  <c r="CQ132" i="2"/>
  <c r="CQ134" i="2"/>
  <c r="CQ135" i="2"/>
  <c r="CQ140" i="2"/>
  <c r="CQ142" i="2"/>
  <c r="CQ143" i="2"/>
  <c r="CQ144" i="2"/>
  <c r="CQ145" i="2"/>
  <c r="CQ107" i="2"/>
  <c r="CQ85" i="2"/>
  <c r="CQ86" i="2"/>
  <c r="CQ88" i="2"/>
  <c r="CQ92" i="2"/>
  <c r="CQ94" i="2"/>
  <c r="CQ95" i="2"/>
  <c r="CQ98" i="2"/>
  <c r="CQ28" i="2"/>
  <c r="CQ36" i="2"/>
  <c r="CQ51" i="2"/>
  <c r="CQ54" i="2"/>
  <c r="CQ57" i="2"/>
  <c r="CQ58" i="2"/>
  <c r="CQ59" i="2"/>
  <c r="CQ62" i="2"/>
  <c r="CQ38" i="2"/>
  <c r="CQ39" i="2"/>
  <c r="CQ40" i="2"/>
  <c r="CQ45" i="2"/>
  <c r="CQ32" i="2"/>
  <c r="CQ34" i="2"/>
  <c r="CQ60" i="2"/>
  <c r="CQ47" i="2"/>
  <c r="CQ49" i="2"/>
  <c r="CQ42" i="2"/>
  <c r="CQ41" i="2"/>
  <c r="CQ63" i="2"/>
  <c r="CQ64" i="2"/>
  <c r="CQ52" i="2"/>
  <c r="CQ43" i="2"/>
  <c r="CQ66" i="2"/>
  <c r="CQ55" i="2"/>
  <c r="CQ31" i="2"/>
  <c r="CQ21" i="2"/>
  <c r="CQ20" i="2"/>
  <c r="CM148" i="2"/>
  <c r="CR20" i="2"/>
  <c r="CR21" i="2"/>
  <c r="CR31" i="2"/>
  <c r="CR28" i="2"/>
  <c r="CR36" i="2"/>
  <c r="CR51" i="2"/>
  <c r="CR54" i="2"/>
  <c r="CR57" i="2"/>
  <c r="CR58" i="2"/>
  <c r="CR59" i="2"/>
  <c r="CR62" i="2"/>
  <c r="CR38" i="2"/>
  <c r="CR39" i="2"/>
  <c r="CR40" i="2"/>
  <c r="CR45" i="2"/>
  <c r="CR32" i="2"/>
  <c r="CR34" i="2"/>
  <c r="CR60" i="2"/>
  <c r="CR47" i="2"/>
  <c r="CR49" i="2"/>
  <c r="CR42" i="2"/>
  <c r="CR41" i="2"/>
  <c r="CR63" i="2"/>
  <c r="CR64" i="2"/>
  <c r="CR52" i="2"/>
  <c r="CR43" i="2"/>
  <c r="CR66" i="2"/>
  <c r="CR55" i="2"/>
  <c r="CR85" i="2"/>
  <c r="CR86" i="2"/>
  <c r="CR88" i="2"/>
  <c r="CR92" i="2"/>
  <c r="CR94" i="2"/>
  <c r="CR95" i="2"/>
  <c r="CR98" i="2"/>
  <c r="CR121" i="2"/>
  <c r="CR123" i="2"/>
  <c r="CR124" i="2"/>
  <c r="CR130" i="2"/>
  <c r="CR132" i="2"/>
  <c r="CR134" i="2"/>
  <c r="CR135" i="2"/>
  <c r="CR140" i="2"/>
  <c r="CR142" i="2"/>
  <c r="CR143" i="2"/>
  <c r="CR144" i="2"/>
  <c r="CR145" i="2"/>
  <c r="CR153" i="2"/>
  <c r="CR155" i="2"/>
  <c r="CR156" i="2"/>
  <c r="CR181" i="2"/>
  <c r="CR187" i="2"/>
  <c r="CR188" i="2"/>
  <c r="CR205" i="2"/>
  <c r="CR207" i="2"/>
  <c r="CR212" i="2"/>
  <c r="CR220" i="2"/>
  <c r="CR221" i="2"/>
  <c r="CR222" i="2"/>
  <c r="CR241" i="2"/>
  <c r="CR243" i="2"/>
  <c r="CR107" i="2"/>
  <c r="AC145" i="2"/>
  <c r="AE145" i="2" s="1"/>
  <c r="AG145" i="2" s="1"/>
  <c r="AI145" i="2" s="1"/>
  <c r="CN132" i="2"/>
  <c r="CN144" i="2"/>
  <c r="CN207" i="2"/>
  <c r="CN212" i="2"/>
  <c r="CN107" i="2"/>
  <c r="CN54" i="2"/>
  <c r="DN18" i="2"/>
  <c r="DN19" i="2"/>
  <c r="DN20" i="2"/>
  <c r="DN21" i="2"/>
  <c r="DN25" i="2"/>
  <c r="DN26" i="2"/>
  <c r="DN31" i="2"/>
  <c r="DN28" i="2"/>
  <c r="DN36" i="2"/>
  <c r="DN51" i="2"/>
  <c r="DN54" i="2"/>
  <c r="DN57" i="2"/>
  <c r="DN58" i="2"/>
  <c r="DN59" i="2"/>
  <c r="DN62" i="2"/>
  <c r="DN38" i="2"/>
  <c r="DN39" i="2"/>
  <c r="DN40" i="2"/>
  <c r="DN45" i="2"/>
  <c r="DN32" i="2"/>
  <c r="DN34" i="2"/>
  <c r="DN60" i="2"/>
  <c r="DN47" i="2"/>
  <c r="DN49" i="2"/>
  <c r="DN42" i="2"/>
  <c r="DN41" i="2"/>
  <c r="DN63" i="2"/>
  <c r="DN64" i="2"/>
  <c r="DN52" i="2"/>
  <c r="DN43" i="2"/>
  <c r="DN66" i="2"/>
  <c r="DN55" i="2"/>
  <c r="DN70" i="2"/>
  <c r="DN71" i="2"/>
  <c r="DN80" i="2"/>
  <c r="DN81" i="2"/>
  <c r="DN85" i="2"/>
  <c r="DN86" i="2"/>
  <c r="DN88" i="2"/>
  <c r="DN92" i="2"/>
  <c r="DN94" i="2"/>
  <c r="DN95" i="2"/>
  <c r="DN98" i="2"/>
  <c r="DN102" i="2"/>
  <c r="DN103" i="2"/>
  <c r="DN107" i="2"/>
  <c r="DN123" i="2"/>
  <c r="DN124" i="2"/>
  <c r="DN132" i="2"/>
  <c r="DN134" i="2"/>
  <c r="DN135" i="2"/>
  <c r="DN140" i="2"/>
  <c r="DN142" i="2"/>
  <c r="DN143" i="2"/>
  <c r="DN144" i="2"/>
  <c r="DN145" i="2"/>
  <c r="DN149" i="2"/>
  <c r="DN150" i="2"/>
  <c r="DN153" i="2"/>
  <c r="DN155" i="2"/>
  <c r="DN156" i="2"/>
  <c r="DN162" i="2"/>
  <c r="DN168" i="2"/>
  <c r="DN181" i="2"/>
  <c r="DN187" i="2"/>
  <c r="DN188" i="2"/>
  <c r="DN202" i="2"/>
  <c r="DN203" i="2"/>
  <c r="DN205" i="2"/>
  <c r="DN207" i="2"/>
  <c r="DN212" i="2"/>
  <c r="DN220" i="2"/>
  <c r="DN221" i="2"/>
  <c r="DN222" i="2"/>
  <c r="DN241" i="2"/>
  <c r="DN243" i="2"/>
  <c r="DL18" i="2"/>
  <c r="DL19" i="2"/>
  <c r="DL20" i="2"/>
  <c r="DL21" i="2"/>
  <c r="DL25" i="2"/>
  <c r="DL26" i="2"/>
  <c r="DL31" i="2"/>
  <c r="DL28" i="2"/>
  <c r="DL36" i="2"/>
  <c r="DL51" i="2"/>
  <c r="DL54" i="2"/>
  <c r="DL57" i="2"/>
  <c r="DL58" i="2"/>
  <c r="DL59" i="2"/>
  <c r="DL62" i="2"/>
  <c r="DL38" i="2"/>
  <c r="DL39" i="2"/>
  <c r="DL40" i="2"/>
  <c r="DL45" i="2"/>
  <c r="DL32" i="2"/>
  <c r="DL34" i="2"/>
  <c r="DL60" i="2"/>
  <c r="DL47" i="2"/>
  <c r="DL49" i="2"/>
  <c r="DL42" i="2"/>
  <c r="DL41" i="2"/>
  <c r="DL63" i="2"/>
  <c r="DL64" i="2"/>
  <c r="DL52" i="2"/>
  <c r="DL43" i="2"/>
  <c r="DL66" i="2"/>
  <c r="DL55" i="2"/>
  <c r="DL70" i="2"/>
  <c r="DL71" i="2"/>
  <c r="DL80" i="2"/>
  <c r="DL81" i="2"/>
  <c r="DL85" i="2"/>
  <c r="DL86" i="2"/>
  <c r="DL88" i="2"/>
  <c r="DL92" i="2"/>
  <c r="DL94" i="2"/>
  <c r="DL95" i="2"/>
  <c r="DL98" i="2"/>
  <c r="DL102" i="2"/>
  <c r="DL103" i="2"/>
  <c r="DL107" i="2"/>
  <c r="DL123" i="2"/>
  <c r="DL124" i="2"/>
  <c r="DL132" i="2"/>
  <c r="DL134" i="2"/>
  <c r="DL135" i="2"/>
  <c r="DL140" i="2"/>
  <c r="DL142" i="2"/>
  <c r="DL143" i="2"/>
  <c r="DL144" i="2"/>
  <c r="DL145" i="2"/>
  <c r="DL149" i="2"/>
  <c r="DL150" i="2"/>
  <c r="DL153" i="2"/>
  <c r="DL155" i="2"/>
  <c r="DL156" i="2"/>
  <c r="DL162" i="2"/>
  <c r="DL168" i="2"/>
  <c r="DL181" i="2"/>
  <c r="DL187" i="2"/>
  <c r="DL188" i="2"/>
  <c r="DL202" i="2"/>
  <c r="DL203" i="2"/>
  <c r="DL205" i="2"/>
  <c r="DL207" i="2"/>
  <c r="DL212" i="2"/>
  <c r="DL220" i="2"/>
  <c r="DL221" i="2"/>
  <c r="DL222" i="2"/>
  <c r="DL241" i="2"/>
  <c r="DL243" i="2"/>
  <c r="DJ18" i="2"/>
  <c r="DJ19" i="2"/>
  <c r="DJ20" i="2"/>
  <c r="DJ21" i="2"/>
  <c r="DJ25" i="2"/>
  <c r="DJ26" i="2"/>
  <c r="DJ31" i="2"/>
  <c r="DJ28" i="2"/>
  <c r="DJ36" i="2"/>
  <c r="DJ51" i="2"/>
  <c r="DJ54" i="2"/>
  <c r="DJ57" i="2"/>
  <c r="DJ58" i="2"/>
  <c r="DJ59" i="2"/>
  <c r="DJ62" i="2"/>
  <c r="DJ38" i="2"/>
  <c r="DJ39" i="2"/>
  <c r="DJ40" i="2"/>
  <c r="DJ45" i="2"/>
  <c r="DJ32" i="2"/>
  <c r="DJ34" i="2"/>
  <c r="DJ60" i="2"/>
  <c r="DJ47" i="2"/>
  <c r="DJ49" i="2"/>
  <c r="DJ42" i="2"/>
  <c r="DJ41" i="2"/>
  <c r="DJ63" i="2"/>
  <c r="DJ64" i="2"/>
  <c r="DJ52" i="2"/>
  <c r="DJ43" i="2"/>
  <c r="DJ66" i="2"/>
  <c r="DJ55" i="2"/>
  <c r="DJ70" i="2"/>
  <c r="DJ71" i="2"/>
  <c r="DJ80" i="2"/>
  <c r="DJ81" i="2"/>
  <c r="DJ85" i="2"/>
  <c r="DJ86" i="2"/>
  <c r="DJ88" i="2"/>
  <c r="DJ92" i="2"/>
  <c r="DJ94" i="2"/>
  <c r="DJ95" i="2"/>
  <c r="DJ98" i="2"/>
  <c r="DJ102" i="2"/>
  <c r="DJ103" i="2"/>
  <c r="DJ107" i="2"/>
  <c r="DJ123" i="2"/>
  <c r="DJ124" i="2"/>
  <c r="DJ132" i="2"/>
  <c r="DJ134" i="2"/>
  <c r="DJ135" i="2"/>
  <c r="DJ140" i="2"/>
  <c r="DJ142" i="2"/>
  <c r="DJ143" i="2"/>
  <c r="DJ144" i="2"/>
  <c r="DJ145" i="2"/>
  <c r="DJ149" i="2"/>
  <c r="DJ150" i="2"/>
  <c r="DJ153" i="2"/>
  <c r="DJ155" i="2"/>
  <c r="DJ156" i="2"/>
  <c r="DJ162" i="2"/>
  <c r="DJ168" i="2"/>
  <c r="DJ181" i="2"/>
  <c r="DJ187" i="2"/>
  <c r="DJ188" i="2"/>
  <c r="DJ202" i="2"/>
  <c r="DJ203" i="2"/>
  <c r="DJ205" i="2"/>
  <c r="DJ207" i="2"/>
  <c r="DJ212" i="2"/>
  <c r="DJ220" i="2"/>
  <c r="DJ221" i="2"/>
  <c r="DJ222" i="2"/>
  <c r="DJ241" i="2"/>
  <c r="DJ243" i="2"/>
  <c r="DH18" i="2"/>
  <c r="DH19" i="2"/>
  <c r="DH20" i="2"/>
  <c r="DH21" i="2"/>
  <c r="DH25" i="2"/>
  <c r="DH26" i="2"/>
  <c r="DH31" i="2"/>
  <c r="DH28" i="2"/>
  <c r="DH36" i="2"/>
  <c r="DH51" i="2"/>
  <c r="DH54" i="2"/>
  <c r="DH57" i="2"/>
  <c r="DH58" i="2"/>
  <c r="DH59" i="2"/>
  <c r="DH62" i="2"/>
  <c r="DH38" i="2"/>
  <c r="DH39" i="2"/>
  <c r="DH40" i="2"/>
  <c r="DH45" i="2"/>
  <c r="DH32" i="2"/>
  <c r="DH34" i="2"/>
  <c r="DH60" i="2"/>
  <c r="DH47" i="2"/>
  <c r="DH49" i="2"/>
  <c r="DH42" i="2"/>
  <c r="DH41" i="2"/>
  <c r="DH63" i="2"/>
  <c r="DH64" i="2"/>
  <c r="DH52" i="2"/>
  <c r="DH43" i="2"/>
  <c r="DH66" i="2"/>
  <c r="DH55" i="2"/>
  <c r="DH70" i="2"/>
  <c r="DH71" i="2"/>
  <c r="DH80" i="2"/>
  <c r="DH81" i="2"/>
  <c r="DH85" i="2"/>
  <c r="DH86" i="2"/>
  <c r="DH88" i="2"/>
  <c r="DH92" i="2"/>
  <c r="DH94" i="2"/>
  <c r="DH95" i="2"/>
  <c r="DH98" i="2"/>
  <c r="DH102" i="2"/>
  <c r="DH103" i="2"/>
  <c r="DH107" i="2"/>
  <c r="DH123" i="2"/>
  <c r="DH124" i="2"/>
  <c r="DH132" i="2"/>
  <c r="DH134" i="2"/>
  <c r="DH135" i="2"/>
  <c r="DH140" i="2"/>
  <c r="DH142" i="2"/>
  <c r="DH143" i="2"/>
  <c r="DH144" i="2"/>
  <c r="DH145" i="2"/>
  <c r="DH149" i="2"/>
  <c r="DH150" i="2"/>
  <c r="DH153" i="2"/>
  <c r="DH155" i="2"/>
  <c r="DH156" i="2"/>
  <c r="DH162" i="2"/>
  <c r="DH168" i="2"/>
  <c r="DH181" i="2"/>
  <c r="DH187" i="2"/>
  <c r="DH188" i="2"/>
  <c r="DH202" i="2"/>
  <c r="DH203" i="2"/>
  <c r="DH205" i="2"/>
  <c r="DH207" i="2"/>
  <c r="DH212" i="2"/>
  <c r="DH220" i="2"/>
  <c r="DH221" i="2"/>
  <c r="DH222" i="2"/>
  <c r="DH241" i="2"/>
  <c r="DH243" i="2"/>
  <c r="DF18" i="2"/>
  <c r="DF19" i="2"/>
  <c r="DF20" i="2"/>
  <c r="DF21" i="2"/>
  <c r="DF25" i="2"/>
  <c r="DF26" i="2"/>
  <c r="DF31" i="2"/>
  <c r="DF28" i="2"/>
  <c r="DF36" i="2"/>
  <c r="DF51" i="2"/>
  <c r="DF54" i="2"/>
  <c r="DF57" i="2"/>
  <c r="DF58" i="2"/>
  <c r="DF59" i="2"/>
  <c r="DF62" i="2"/>
  <c r="DF38" i="2"/>
  <c r="DF39" i="2"/>
  <c r="DF40" i="2"/>
  <c r="DF45" i="2"/>
  <c r="DF32" i="2"/>
  <c r="DF34" i="2"/>
  <c r="DF60" i="2"/>
  <c r="DF47" i="2"/>
  <c r="DF49" i="2"/>
  <c r="DF42" i="2"/>
  <c r="DF41" i="2"/>
  <c r="DF63" i="2"/>
  <c r="DF64" i="2"/>
  <c r="DF52" i="2"/>
  <c r="DF43" i="2"/>
  <c r="DF66" i="2"/>
  <c r="DF55" i="2"/>
  <c r="DF70" i="2"/>
  <c r="DF71" i="2"/>
  <c r="DF80" i="2"/>
  <c r="DF81" i="2"/>
  <c r="DF85" i="2"/>
  <c r="DF86" i="2"/>
  <c r="DF88" i="2"/>
  <c r="DF92" i="2"/>
  <c r="DF94" i="2"/>
  <c r="DF95" i="2"/>
  <c r="DF98" i="2"/>
  <c r="DF102" i="2"/>
  <c r="DF103" i="2"/>
  <c r="DF107" i="2"/>
  <c r="DF123" i="2"/>
  <c r="DF124" i="2"/>
  <c r="DF132" i="2"/>
  <c r="DF134" i="2"/>
  <c r="DF135" i="2"/>
  <c r="DF140" i="2"/>
  <c r="DF142" i="2"/>
  <c r="DF143" i="2"/>
  <c r="DF144" i="2"/>
  <c r="DF145" i="2"/>
  <c r="DF149" i="2"/>
  <c r="DF150" i="2"/>
  <c r="DF153" i="2"/>
  <c r="DF155" i="2"/>
  <c r="DF156" i="2"/>
  <c r="DF162" i="2"/>
  <c r="DF168" i="2"/>
  <c r="DF181" i="2"/>
  <c r="DF187" i="2"/>
  <c r="DF188" i="2"/>
  <c r="DF202" i="2"/>
  <c r="DF203" i="2"/>
  <c r="DF205" i="2"/>
  <c r="DF207" i="2"/>
  <c r="DF212" i="2"/>
  <c r="DF220" i="2"/>
  <c r="DF221" i="2"/>
  <c r="DF222" i="2"/>
  <c r="DF241" i="2"/>
  <c r="DF243" i="2"/>
  <c r="DD18" i="2"/>
  <c r="DD19" i="2"/>
  <c r="DD20" i="2"/>
  <c r="DD21" i="2"/>
  <c r="DD25" i="2"/>
  <c r="DD26" i="2"/>
  <c r="DD31" i="2"/>
  <c r="DD28" i="2"/>
  <c r="DD36" i="2"/>
  <c r="DD51" i="2"/>
  <c r="DD54" i="2"/>
  <c r="DD57" i="2"/>
  <c r="DD58" i="2"/>
  <c r="DD59" i="2"/>
  <c r="DD62" i="2"/>
  <c r="DD38" i="2"/>
  <c r="DD39" i="2"/>
  <c r="DD40" i="2"/>
  <c r="DD45" i="2"/>
  <c r="DD32" i="2"/>
  <c r="DD34" i="2"/>
  <c r="DD60" i="2"/>
  <c r="DD47" i="2"/>
  <c r="DD49" i="2"/>
  <c r="DD42" i="2"/>
  <c r="DD41" i="2"/>
  <c r="DD63" i="2"/>
  <c r="DD64" i="2"/>
  <c r="DD52" i="2"/>
  <c r="DD43" i="2"/>
  <c r="DD66" i="2"/>
  <c r="DD55" i="2"/>
  <c r="DD70" i="2"/>
  <c r="DD71" i="2"/>
  <c r="DD80" i="2"/>
  <c r="DD81" i="2"/>
  <c r="DD85" i="2"/>
  <c r="DD86" i="2"/>
  <c r="DD88" i="2"/>
  <c r="DD92" i="2"/>
  <c r="DD94" i="2"/>
  <c r="DD95" i="2"/>
  <c r="DD98" i="2"/>
  <c r="DD102" i="2"/>
  <c r="DD103" i="2"/>
  <c r="DD107" i="2"/>
  <c r="DD123" i="2"/>
  <c r="DD124" i="2"/>
  <c r="DD132" i="2"/>
  <c r="DD134" i="2"/>
  <c r="DD135" i="2"/>
  <c r="DD140" i="2"/>
  <c r="DD142" i="2"/>
  <c r="DD143" i="2"/>
  <c r="DD144" i="2"/>
  <c r="DD145" i="2"/>
  <c r="DD149" i="2"/>
  <c r="DD150" i="2"/>
  <c r="DD153" i="2"/>
  <c r="DD155" i="2"/>
  <c r="DD156" i="2"/>
  <c r="DD162" i="2"/>
  <c r="DD168" i="2"/>
  <c r="DD181" i="2"/>
  <c r="DD187" i="2"/>
  <c r="DD188" i="2"/>
  <c r="DD202" i="2"/>
  <c r="DD203" i="2"/>
  <c r="DD205" i="2"/>
  <c r="DD207" i="2"/>
  <c r="DD212" i="2"/>
  <c r="DD220" i="2"/>
  <c r="DD221" i="2"/>
  <c r="DD222" i="2"/>
  <c r="DD241" i="2"/>
  <c r="DD243" i="2"/>
  <c r="CN20" i="2"/>
  <c r="CN21" i="2"/>
  <c r="CN31" i="2"/>
  <c r="CN28" i="2"/>
  <c r="CN36" i="2"/>
  <c r="CN51" i="2"/>
  <c r="CN57" i="2"/>
  <c r="CN58" i="2"/>
  <c r="CN59" i="2"/>
  <c r="CN62" i="2"/>
  <c r="CN38" i="2"/>
  <c r="CN39" i="2"/>
  <c r="CN40" i="2"/>
  <c r="CN45" i="2"/>
  <c r="CN32" i="2"/>
  <c r="CN34" i="2"/>
  <c r="CN60" i="2"/>
  <c r="CN47" i="2"/>
  <c r="CN49" i="2"/>
  <c r="CN42" i="2"/>
  <c r="CN41" i="2"/>
  <c r="CN63" i="2"/>
  <c r="CN64" i="2"/>
  <c r="CN52" i="2"/>
  <c r="CN43" i="2"/>
  <c r="CN66" i="2"/>
  <c r="CN55" i="2"/>
  <c r="CN85" i="2"/>
  <c r="CN86" i="2"/>
  <c r="CN88" i="2"/>
  <c r="CN92" i="2"/>
  <c r="CN94" i="2"/>
  <c r="CN95" i="2"/>
  <c r="CN98" i="2"/>
  <c r="CN121" i="2"/>
  <c r="CN123" i="2"/>
  <c r="CN124" i="2"/>
  <c r="CN130" i="2"/>
  <c r="CN134" i="2"/>
  <c r="CN135" i="2"/>
  <c r="CN140" i="2"/>
  <c r="CN142" i="2"/>
  <c r="CN143" i="2"/>
  <c r="CN145" i="2"/>
  <c r="CN153" i="2"/>
  <c r="CN155" i="2"/>
  <c r="CN156" i="2"/>
  <c r="CN188" i="2"/>
  <c r="CN205" i="2"/>
  <c r="CN220" i="2"/>
  <c r="CN221" i="2"/>
  <c r="CN222" i="2"/>
  <c r="CN241" i="2"/>
  <c r="CN243" i="2"/>
  <c r="CL20" i="2"/>
  <c r="CL21" i="2"/>
  <c r="CL31" i="2"/>
  <c r="CL28" i="2"/>
  <c r="CL36" i="2"/>
  <c r="CL51" i="2"/>
  <c r="CL54" i="2"/>
  <c r="CL57" i="2"/>
  <c r="CL58" i="2"/>
  <c r="CL59" i="2"/>
  <c r="CL62" i="2"/>
  <c r="CL38" i="2"/>
  <c r="CL39" i="2"/>
  <c r="CL40" i="2"/>
  <c r="CL45" i="2"/>
  <c r="CL32" i="2"/>
  <c r="CL34" i="2"/>
  <c r="CL60" i="2"/>
  <c r="CL47" i="2"/>
  <c r="CL49" i="2"/>
  <c r="CL42" i="2"/>
  <c r="CL41" i="2"/>
  <c r="CL63" i="2"/>
  <c r="CL64" i="2"/>
  <c r="CL52" i="2"/>
  <c r="CL43" i="2"/>
  <c r="CL66" i="2"/>
  <c r="CL55" i="2"/>
  <c r="CL85" i="2"/>
  <c r="CL86" i="2"/>
  <c r="CL88" i="2"/>
  <c r="CL92" i="2"/>
  <c r="CL94" i="2"/>
  <c r="CL95" i="2"/>
  <c r="CL98" i="2"/>
  <c r="CL107" i="2"/>
  <c r="CL121" i="2"/>
  <c r="CL123" i="2"/>
  <c r="CL124" i="2"/>
  <c r="CL130" i="2"/>
  <c r="CL132" i="2"/>
  <c r="CL134" i="2"/>
  <c r="CL135" i="2"/>
  <c r="CL140" i="2"/>
  <c r="CL142" i="2"/>
  <c r="CL143" i="2"/>
  <c r="CL144" i="2"/>
  <c r="CL145" i="2"/>
  <c r="CL153" i="2"/>
  <c r="CL155" i="2"/>
  <c r="CL156" i="2"/>
  <c r="CL181" i="2"/>
  <c r="CL187" i="2"/>
  <c r="CL188" i="2"/>
  <c r="CL205" i="2"/>
  <c r="CL207" i="2"/>
  <c r="CL212" i="2"/>
  <c r="CL220" i="2"/>
  <c r="CL221" i="2"/>
  <c r="CL222" i="2"/>
  <c r="CL241" i="2"/>
  <c r="CL243" i="2"/>
  <c r="AE181" i="2"/>
  <c r="AG181" i="2" s="1"/>
  <c r="AI181" i="2" s="1"/>
  <c r="AE187" i="2"/>
  <c r="AG187" i="2" s="1"/>
  <c r="AI187" i="2" s="1"/>
  <c r="AC107" i="2"/>
  <c r="AE107" i="2" s="1"/>
  <c r="AG107" i="2" s="1"/>
  <c r="AI107" i="2" s="1"/>
  <c r="AC124" i="2"/>
  <c r="AE134" i="2"/>
  <c r="AG134" i="2" s="1"/>
  <c r="AI134" i="2" s="1"/>
  <c r="AC143" i="2"/>
  <c r="AE143" i="2" s="1"/>
  <c r="AG143" i="2" s="1"/>
  <c r="AI143" i="2" s="1"/>
  <c r="AC142" i="2"/>
  <c r="AE142" i="2" s="1"/>
  <c r="AG142" i="2" s="1"/>
  <c r="AI142" i="2" s="1"/>
  <c r="AD246" i="2"/>
  <c r="AD201" i="2"/>
  <c r="AD161" i="2"/>
  <c r="AD101" i="2"/>
  <c r="AD79" i="2"/>
  <c r="AD69" i="2"/>
  <c r="AD24" i="2"/>
  <c r="AD17" i="2"/>
  <c r="AC201" i="2"/>
  <c r="AC17" i="2"/>
  <c r="AC131" i="2"/>
  <c r="AC130" i="2"/>
  <c r="AC121" i="2"/>
  <c r="AC69" i="2"/>
  <c r="DP221" i="2"/>
  <c r="DP222" i="2"/>
  <c r="AE20" i="2"/>
  <c r="AG20" i="2" s="1"/>
  <c r="AI20" i="2" s="1"/>
  <c r="AE21" i="2"/>
  <c r="AG21" i="2" s="1"/>
  <c r="AI21" i="2" s="1"/>
  <c r="AE31" i="2"/>
  <c r="AG31" i="2" s="1"/>
  <c r="AI31" i="2" s="1"/>
  <c r="AE28" i="2"/>
  <c r="AG28" i="2" s="1"/>
  <c r="AI28" i="2" s="1"/>
  <c r="AE36" i="2"/>
  <c r="AG36" i="2" s="1"/>
  <c r="AI36" i="2" s="1"/>
  <c r="AE51" i="2"/>
  <c r="AG51" i="2" s="1"/>
  <c r="AI51" i="2" s="1"/>
  <c r="AE54" i="2"/>
  <c r="AG54" i="2" s="1"/>
  <c r="AI54" i="2" s="1"/>
  <c r="AE57" i="2"/>
  <c r="AG57" i="2" s="1"/>
  <c r="AI57" i="2" s="1"/>
  <c r="AE58" i="2"/>
  <c r="AG58" i="2" s="1"/>
  <c r="AI58" i="2" s="1"/>
  <c r="AE59" i="2"/>
  <c r="AG59" i="2" s="1"/>
  <c r="AI59" i="2" s="1"/>
  <c r="AE62" i="2"/>
  <c r="AG62" i="2" s="1"/>
  <c r="AI62" i="2" s="1"/>
  <c r="AE38" i="2"/>
  <c r="AG38" i="2" s="1"/>
  <c r="AI38" i="2" s="1"/>
  <c r="AE39" i="2"/>
  <c r="AG39" i="2" s="1"/>
  <c r="AI39" i="2" s="1"/>
  <c r="AE40" i="2"/>
  <c r="AG40" i="2" s="1"/>
  <c r="AI40" i="2" s="1"/>
  <c r="AE45" i="2"/>
  <c r="AG45" i="2" s="1"/>
  <c r="AI45" i="2" s="1"/>
  <c r="AE32" i="2"/>
  <c r="AG32" i="2" s="1"/>
  <c r="AI32" i="2" s="1"/>
  <c r="AE34" i="2"/>
  <c r="AG34" i="2" s="1"/>
  <c r="AI34" i="2" s="1"/>
  <c r="AE60" i="2"/>
  <c r="AG60" i="2" s="1"/>
  <c r="AI60" i="2" s="1"/>
  <c r="AE47" i="2"/>
  <c r="AG47" i="2" s="1"/>
  <c r="AI47" i="2" s="1"/>
  <c r="AE49" i="2"/>
  <c r="AG49" i="2" s="1"/>
  <c r="AI49" i="2" s="1"/>
  <c r="AE42" i="2"/>
  <c r="AG42" i="2" s="1"/>
  <c r="AI42" i="2" s="1"/>
  <c r="AE41" i="2"/>
  <c r="AG41" i="2" s="1"/>
  <c r="AI41" i="2" s="1"/>
  <c r="AE63" i="2"/>
  <c r="AG63" i="2" s="1"/>
  <c r="AI63" i="2" s="1"/>
  <c r="AE64" i="2"/>
  <c r="AG64" i="2" s="1"/>
  <c r="AI64" i="2" s="1"/>
  <c r="AE52" i="2"/>
  <c r="AG52" i="2" s="1"/>
  <c r="AI52" i="2" s="1"/>
  <c r="AE43" i="2"/>
  <c r="AG43" i="2" s="1"/>
  <c r="AI43" i="2" s="1"/>
  <c r="AE66" i="2"/>
  <c r="AG66" i="2" s="1"/>
  <c r="AI66" i="2" s="1"/>
  <c r="AE55" i="2"/>
  <c r="AG55" i="2" s="1"/>
  <c r="AI55" i="2" s="1"/>
  <c r="AE85" i="2"/>
  <c r="AG85" i="2" s="1"/>
  <c r="AI85" i="2" s="1"/>
  <c r="AE88" i="2"/>
  <c r="AG88" i="2" s="1"/>
  <c r="AI88" i="2" s="1"/>
  <c r="AE92" i="2"/>
  <c r="AG92" i="2" s="1"/>
  <c r="AI92" i="2" s="1"/>
  <c r="AE94" i="2"/>
  <c r="AG94" i="2" s="1"/>
  <c r="AI94" i="2" s="1"/>
  <c r="AE123" i="2"/>
  <c r="AG123" i="2" s="1"/>
  <c r="AI123" i="2" s="1"/>
  <c r="AE132" i="2"/>
  <c r="AG132" i="2" s="1"/>
  <c r="AE135" i="2"/>
  <c r="AE144" i="2"/>
  <c r="AG144" i="2" s="1"/>
  <c r="AI144" i="2" s="1"/>
  <c r="AE153" i="2"/>
  <c r="AG153" i="2" s="1"/>
  <c r="AI153" i="2" s="1"/>
  <c r="AE155" i="2"/>
  <c r="AG155" i="2" s="1"/>
  <c r="AI155" i="2" s="1"/>
  <c r="AE156" i="2"/>
  <c r="AG156" i="2" s="1"/>
  <c r="AI156" i="2" s="1"/>
  <c r="CN187" i="2"/>
  <c r="AE188" i="2"/>
  <c r="AG188" i="2" s="1"/>
  <c r="AI188" i="2" s="1"/>
  <c r="AE212" i="2"/>
  <c r="AG212" i="2" s="1"/>
  <c r="AI212" i="2" s="1"/>
  <c r="AE220" i="2"/>
  <c r="AG220" i="2" s="1"/>
  <c r="AE221" i="2"/>
  <c r="AG221" i="2" s="1"/>
  <c r="AE222" i="2"/>
  <c r="AG222" i="2" s="1"/>
  <c r="AE241" i="2"/>
  <c r="AG241" i="2" s="1"/>
  <c r="AI241" i="2" s="1"/>
  <c r="AE243" i="2"/>
  <c r="DP181" i="2"/>
  <c r="CN181" i="2"/>
  <c r="DP187" i="2"/>
  <c r="AC246" i="2"/>
  <c r="DP88" i="2"/>
  <c r="DP241" i="2"/>
  <c r="DP243" i="2"/>
  <c r="DP20" i="2"/>
  <c r="DP21" i="2"/>
  <c r="DP85" i="2"/>
  <c r="DP86" i="2"/>
  <c r="DP92" i="2"/>
  <c r="DP94" i="2"/>
  <c r="DP95" i="2"/>
  <c r="DP98" i="2"/>
  <c r="DP107" i="2"/>
  <c r="DP188" i="2"/>
  <c r="DP205" i="2"/>
  <c r="DP207" i="2"/>
  <c r="DP212" i="2"/>
  <c r="DP220" i="2"/>
  <c r="AC24" i="2"/>
  <c r="AC86" i="2"/>
  <c r="AC98" i="2"/>
  <c r="AE98" i="2" s="1"/>
  <c r="AG98" i="2" s="1"/>
  <c r="AI98" i="2" s="1"/>
  <c r="AC95" i="2"/>
  <c r="AE95" i="2" s="1"/>
  <c r="AG95" i="2" s="1"/>
  <c r="AI95" i="2" s="1"/>
  <c r="DS131" i="2"/>
  <c r="CN79" i="2"/>
  <c r="DD79" i="2"/>
  <c r="CL79" i="2"/>
  <c r="DL79" i="2"/>
  <c r="CV79" i="2"/>
  <c r="DH79" i="2"/>
  <c r="DJ17" i="2"/>
  <c r="DJ79" i="2"/>
  <c r="CL17" i="2"/>
  <c r="CN17" i="2"/>
  <c r="CR79" i="2"/>
  <c r="DB79" i="2"/>
  <c r="CQ17" i="2"/>
  <c r="CR17" i="2"/>
  <c r="AF148" i="2"/>
  <c r="CY79" i="2"/>
  <c r="CY17" i="2"/>
  <c r="AC161" i="2"/>
  <c r="CV17" i="2"/>
  <c r="DP17" i="2"/>
  <c r="DN79" i="2"/>
  <c r="DH17" i="2"/>
  <c r="CM201" i="2"/>
  <c r="DB17" i="2"/>
  <c r="DN17" i="2"/>
  <c r="AD148" i="2"/>
  <c r="DD17" i="2"/>
  <c r="DF17" i="2"/>
  <c r="AC79" i="2"/>
  <c r="AE17" i="2"/>
  <c r="DP79" i="2"/>
  <c r="CQ79" i="2"/>
  <c r="DF79" i="2"/>
  <c r="DL17" i="2"/>
  <c r="CS79" i="2"/>
  <c r="CS17" i="2"/>
  <c r="DQ17" i="2"/>
  <c r="DQ79" i="2"/>
  <c r="AC258" i="2"/>
  <c r="DS17" i="2"/>
  <c r="AE79" i="2"/>
  <c r="DT17" i="2"/>
  <c r="DS79" i="2"/>
  <c r="DT79" i="2"/>
  <c r="D189" i="3" a="1"/>
  <c r="D189" i="3" s="1"/>
  <c r="E189" i="3" a="1"/>
  <c r="E189" i="3" s="1"/>
  <c r="D191" i="3" a="1"/>
  <c r="D191" i="3" s="1"/>
  <c r="D185" i="3" a="1"/>
  <c r="D185" i="3" s="1"/>
  <c r="F184" i="3" a="1"/>
  <c r="F184" i="3" s="1"/>
  <c r="F188" i="3" s="1"/>
  <c r="F192" i="3" s="1"/>
  <c r="C184" i="3" a="1"/>
  <c r="C184" i="3" s="1"/>
  <c r="C188" i="3" s="1"/>
  <c r="C192" i="3" s="1"/>
  <c r="E184" i="3" a="1"/>
  <c r="E184" i="3" s="1"/>
  <c r="E188" i="3" s="1"/>
  <c r="E192" i="3" s="1"/>
  <c r="C185" i="3" a="1"/>
  <c r="C185" i="3" s="1"/>
  <c r="F189" i="3" a="1"/>
  <c r="F189" i="3" s="1"/>
  <c r="B185" i="3" a="1"/>
  <c r="B185" i="3" s="1"/>
  <c r="D184" i="3" a="1"/>
  <c r="D184" i="3" s="1"/>
  <c r="D188" i="3" s="1"/>
  <c r="D192" i="3" s="1"/>
  <c r="F191" i="3" a="1"/>
  <c r="F191" i="3" s="1"/>
  <c r="C191" i="3" a="1"/>
  <c r="C191" i="3" s="1"/>
  <c r="B189" i="3" a="1"/>
  <c r="B189" i="3" s="1"/>
  <c r="B184" i="3" a="1"/>
  <c r="B184" i="3" s="1"/>
  <c r="B188" i="3" s="1"/>
  <c r="B192" i="3" s="1"/>
  <c r="E191" i="3" a="1"/>
  <c r="E191" i="3" s="1"/>
  <c r="B191" i="3" a="1"/>
  <c r="B191" i="3" s="1"/>
  <c r="C189" i="3" a="1"/>
  <c r="C189" i="3" s="1"/>
  <c r="E185" i="3" a="1"/>
  <c r="E185" i="3" s="1"/>
  <c r="F185" i="3" a="1"/>
  <c r="F185" i="3" s="1"/>
  <c r="Q375" i="3" l="1"/>
  <c r="Q403" i="3"/>
  <c r="Q7" i="3"/>
  <c r="Q19" i="3"/>
  <c r="Q154" i="3"/>
  <c r="Q156" i="3" s="1"/>
  <c r="BU63" i="4"/>
  <c r="CE123" i="2"/>
  <c r="CE142" i="2"/>
  <c r="CC85" i="2"/>
  <c r="CC100" i="2"/>
  <c r="CE41" i="2"/>
  <c r="CE221" i="2"/>
  <c r="CC54" i="2"/>
  <c r="CC211" i="2"/>
  <c r="CC87" i="2"/>
  <c r="CE51" i="2"/>
  <c r="CE58" i="2"/>
  <c r="CE121" i="2"/>
  <c r="CC169" i="2"/>
  <c r="CE43" i="2"/>
  <c r="CC27" i="2"/>
  <c r="CC66" i="2"/>
  <c r="CE60" i="2"/>
  <c r="CC160" i="2"/>
  <c r="CC63" i="2"/>
  <c r="CE36" i="2"/>
  <c r="CE56" i="2"/>
  <c r="CE207" i="2"/>
  <c r="CE21" i="2"/>
  <c r="CC98" i="2"/>
  <c r="CE78" i="2"/>
  <c r="CE155" i="2"/>
  <c r="CC223" i="2"/>
  <c r="CE130" i="2"/>
  <c r="CE47" i="2"/>
  <c r="CC231" i="2"/>
  <c r="CC151" i="2"/>
  <c r="CE94" i="2"/>
  <c r="CE107" i="2"/>
  <c r="CC17" i="2"/>
  <c r="CC74" i="2"/>
  <c r="CE39" i="2"/>
  <c r="CE134" i="2"/>
  <c r="CE227" i="2"/>
  <c r="CE93" i="2"/>
  <c r="CE135" i="2"/>
  <c r="CC159" i="2"/>
  <c r="CB159" i="2"/>
  <c r="CD159" i="2"/>
  <c r="CB146" i="2"/>
  <c r="CC146" i="2"/>
  <c r="CD146" i="2"/>
  <c r="CE166" i="2"/>
  <c r="CB165" i="2"/>
  <c r="CB166" i="2" s="1"/>
  <c r="CC165" i="2"/>
  <c r="CC166" i="2" s="1"/>
  <c r="CD165" i="2"/>
  <c r="CE38" i="2"/>
  <c r="CC38" i="2"/>
  <c r="CE159" i="2"/>
  <c r="CB132" i="2"/>
  <c r="CC132" i="2"/>
  <c r="CD132" i="2"/>
  <c r="CE22" i="2"/>
  <c r="CC22" i="2"/>
  <c r="CE52" i="2"/>
  <c r="CC52" i="2"/>
  <c r="CE82" i="2"/>
  <c r="CC82" i="2"/>
  <c r="CE122" i="2"/>
  <c r="CC122" i="2"/>
  <c r="CE147" i="2"/>
  <c r="CC147" i="2"/>
  <c r="CB158" i="2"/>
  <c r="CC158" i="2"/>
  <c r="CD158" i="2"/>
  <c r="CC130" i="2"/>
  <c r="CB130" i="2"/>
  <c r="CD130" i="2"/>
  <c r="CC153" i="2"/>
  <c r="CB153" i="2"/>
  <c r="CD153" i="2"/>
  <c r="CC36" i="2"/>
  <c r="CB36" i="2"/>
  <c r="CD36" i="2"/>
  <c r="CC93" i="2"/>
  <c r="CB93" i="2"/>
  <c r="CD93" i="2"/>
  <c r="BZ69" i="2"/>
  <c r="CE7" i="2"/>
  <c r="CC7" i="2"/>
  <c r="BT248" i="2"/>
  <c r="BT252" i="2" s="1"/>
  <c r="BZ101" i="2"/>
  <c r="CE20" i="2"/>
  <c r="CC20" i="2"/>
  <c r="CE49" i="2"/>
  <c r="CC49" i="2"/>
  <c r="CE250" i="2"/>
  <c r="CC250" i="2"/>
  <c r="CE120" i="2"/>
  <c r="CC120" i="2"/>
  <c r="CE145" i="2"/>
  <c r="CC145" i="2"/>
  <c r="CE229" i="2"/>
  <c r="CC229" i="2"/>
  <c r="CE31" i="2"/>
  <c r="CC31" i="2"/>
  <c r="CE40" i="2"/>
  <c r="CC40" i="2"/>
  <c r="CE62" i="2"/>
  <c r="CC62" i="2"/>
  <c r="CE95" i="2"/>
  <c r="CC95" i="2"/>
  <c r="CE165" i="2"/>
  <c r="CC241" i="2"/>
  <c r="CB241" i="2"/>
  <c r="CD241" i="2"/>
  <c r="CB135" i="2"/>
  <c r="CC135" i="2"/>
  <c r="CD135" i="2"/>
  <c r="CC156" i="2"/>
  <c r="CB156" i="2"/>
  <c r="CD156" i="2"/>
  <c r="CB92" i="2"/>
  <c r="CC92" i="2"/>
  <c r="CD92" i="2"/>
  <c r="CC88" i="2"/>
  <c r="CB88" i="2"/>
  <c r="CD88" i="2"/>
  <c r="BZ148" i="2"/>
  <c r="CE28" i="2"/>
  <c r="CC28" i="2"/>
  <c r="CE55" i="2"/>
  <c r="CC55" i="2"/>
  <c r="CE124" i="2"/>
  <c r="CE153" i="2"/>
  <c r="CE241" i="2"/>
  <c r="CE132" i="2"/>
  <c r="CE37" i="2"/>
  <c r="CC37" i="2"/>
  <c r="CE45" i="2"/>
  <c r="CC45" i="2"/>
  <c r="CE72" i="2"/>
  <c r="CC72" i="2"/>
  <c r="CE104" i="2"/>
  <c r="CC104" i="2"/>
  <c r="CE143" i="2"/>
  <c r="CC143" i="2"/>
  <c r="CE222" i="2"/>
  <c r="CC222" i="2"/>
  <c r="CE228" i="2"/>
  <c r="CC228" i="2"/>
  <c r="BZ246" i="2"/>
  <c r="CE212" i="2"/>
  <c r="CC212" i="2"/>
  <c r="CE59" i="2"/>
  <c r="CC59" i="2"/>
  <c r="CE133" i="2"/>
  <c r="CC133" i="2"/>
  <c r="CE230" i="2"/>
  <c r="CC230" i="2"/>
  <c r="CE242" i="2"/>
  <c r="CC242" i="2"/>
  <c r="CE144" i="2"/>
  <c r="CC144" i="2"/>
  <c r="CE204" i="2"/>
  <c r="CC204" i="2"/>
  <c r="CC131" i="2"/>
  <c r="CB131" i="2"/>
  <c r="CD131" i="2"/>
  <c r="CC107" i="2"/>
  <c r="CB107" i="2"/>
  <c r="CD107" i="2"/>
  <c r="CC124" i="2"/>
  <c r="CB124" i="2"/>
  <c r="CD124" i="2"/>
  <c r="BZ79" i="2"/>
  <c r="BZ24" i="2"/>
  <c r="BZ161" i="2"/>
  <c r="CE218" i="2"/>
  <c r="CC218" i="2"/>
  <c r="CE42" i="2"/>
  <c r="CC42" i="2"/>
  <c r="CE64" i="2"/>
  <c r="CC64" i="2"/>
  <c r="CE99" i="2"/>
  <c r="CC99" i="2"/>
  <c r="CE141" i="2"/>
  <c r="CC141" i="2"/>
  <c r="CE220" i="2"/>
  <c r="CC220" i="2"/>
  <c r="CE32" i="2"/>
  <c r="CC32" i="2"/>
  <c r="CE219" i="2"/>
  <c r="CC219" i="2"/>
  <c r="CE92" i="2"/>
  <c r="CE158" i="2"/>
  <c r="CE146" i="2"/>
  <c r="CE140" i="2"/>
  <c r="CC140" i="2"/>
  <c r="CE34" i="2"/>
  <c r="CC34" i="2"/>
  <c r="CE57" i="2"/>
  <c r="CC57" i="2"/>
  <c r="CE88" i="2"/>
  <c r="CE131" i="2"/>
  <c r="CE156" i="2"/>
  <c r="BB248" i="2"/>
  <c r="BB252" i="2" s="1"/>
  <c r="BN248" i="2"/>
  <c r="BN252" i="2" s="1"/>
  <c r="AV248" i="2"/>
  <c r="AV252" i="2" s="1"/>
  <c r="BK248" i="2"/>
  <c r="BK252" i="2" s="1"/>
  <c r="BE248" i="2"/>
  <c r="BE252" i="2" s="1"/>
  <c r="BQ248" i="2"/>
  <c r="BQ252" i="2" s="1"/>
  <c r="AS248" i="2"/>
  <c r="BW248" i="2"/>
  <c r="BW252" i="2" s="1"/>
  <c r="BH248" i="2"/>
  <c r="BH252" i="2" s="1"/>
  <c r="AP248" i="2"/>
  <c r="AP252" i="2" s="1"/>
  <c r="K402" i="3" s="1" a="1"/>
  <c r="K402" i="3" s="1"/>
  <c r="L115" i="3" a="1"/>
  <c r="L115" i="3" s="1"/>
  <c r="L17" i="3" a="1"/>
  <c r="L17" i="3" s="1"/>
  <c r="L16" i="3" a="1"/>
  <c r="L16" i="3" s="1"/>
  <c r="L14" i="3" a="1"/>
  <c r="L14" i="3" s="1"/>
  <c r="L8" i="3" a="1"/>
  <c r="L8" i="3" s="1"/>
  <c r="L10" i="3" a="1"/>
  <c r="L10" i="3" s="1"/>
  <c r="L13" i="3" a="1"/>
  <c r="L13" i="3" s="1"/>
  <c r="L11" i="3" a="1"/>
  <c r="L11" i="3" s="1"/>
  <c r="L6" i="3" a="1"/>
  <c r="L6" i="3" s="1"/>
  <c r="L15" i="3" a="1"/>
  <c r="L15" i="3" s="1"/>
  <c r="L18" i="3" a="1"/>
  <c r="L18" i="3" s="1"/>
  <c r="L5" i="3" a="1"/>
  <c r="L5" i="3" s="1"/>
  <c r="AM69" i="2"/>
  <c r="AI132" i="2"/>
  <c r="AM148" i="2"/>
  <c r="AM161" i="2"/>
  <c r="AM205" i="2"/>
  <c r="AK246" i="2"/>
  <c r="AM187" i="2"/>
  <c r="AK201" i="2"/>
  <c r="AM245" i="2"/>
  <c r="AG17" i="2"/>
  <c r="DV17" i="2" s="1"/>
  <c r="AM243" i="2"/>
  <c r="CE243" i="2" s="1"/>
  <c r="AK101" i="2"/>
  <c r="AM86" i="2"/>
  <c r="CE86" i="2" s="1"/>
  <c r="CS57" i="2"/>
  <c r="CS63" i="2"/>
  <c r="CS45" i="2"/>
  <c r="CS39" i="2"/>
  <c r="CS43" i="2"/>
  <c r="CS49" i="2"/>
  <c r="AE201" i="2"/>
  <c r="AG201" i="2" s="1"/>
  <c r="AI201" i="2" s="1"/>
  <c r="CS85" i="2"/>
  <c r="AK69" i="2"/>
  <c r="AG79" i="2"/>
  <c r="AI79" i="2" s="1"/>
  <c r="AG135" i="2"/>
  <c r="AI135" i="2" s="1"/>
  <c r="J105" i="3" a="1"/>
  <c r="J105" i="3" s="1"/>
  <c r="L36" i="3" a="1"/>
  <c r="L36" i="3" s="1"/>
  <c r="L44" i="3" a="1"/>
  <c r="L44" i="3" s="1"/>
  <c r="L53" i="3" a="1"/>
  <c r="L53" i="3" s="1"/>
  <c r="L59" i="3" a="1"/>
  <c r="L59" i="3" s="1"/>
  <c r="L71" i="3" a="1"/>
  <c r="L71" i="3" s="1"/>
  <c r="L76" i="3" a="1"/>
  <c r="L76" i="3" s="1"/>
  <c r="L81" i="3" a="1"/>
  <c r="L81" i="3" s="1"/>
  <c r="L27" i="3" a="1"/>
  <c r="L27" i="3" s="1"/>
  <c r="L33" i="3" a="1"/>
  <c r="L33" i="3" s="1"/>
  <c r="L39" i="3" a="1"/>
  <c r="L39" i="3" s="1"/>
  <c r="L48" i="3" a="1"/>
  <c r="L48" i="3" s="1"/>
  <c r="L60" i="3" a="1"/>
  <c r="L60" i="3" s="1"/>
  <c r="L66" i="3" a="1"/>
  <c r="L66" i="3" s="1"/>
  <c r="L72" i="3" a="1"/>
  <c r="L72" i="3" s="1"/>
  <c r="L97" i="3" a="1"/>
  <c r="L97" i="3" s="1"/>
  <c r="L111" i="3" a="1"/>
  <c r="L111" i="3" s="1"/>
  <c r="L101" i="3" a="1"/>
  <c r="L101" i="3" s="1"/>
  <c r="L108" i="3" a="1"/>
  <c r="L108" i="3" s="1"/>
  <c r="L25" i="3" a="1"/>
  <c r="L25" i="3" s="1"/>
  <c r="L38" i="3" a="1"/>
  <c r="L38" i="3" s="1"/>
  <c r="L46" i="3" a="1"/>
  <c r="L46" i="3" s="1"/>
  <c r="L54" i="3" a="1"/>
  <c r="L54" i="3" s="1"/>
  <c r="L61" i="3" a="1"/>
  <c r="L61" i="3" s="1"/>
  <c r="L73" i="3" a="1"/>
  <c r="L73" i="3" s="1"/>
  <c r="L78" i="3" a="1"/>
  <c r="L78" i="3" s="1"/>
  <c r="L82" i="3" a="1"/>
  <c r="L82" i="3" s="1"/>
  <c r="L28" i="3" a="1"/>
  <c r="L28" i="3" s="1"/>
  <c r="L34" i="3" a="1"/>
  <c r="L34" i="3" s="1"/>
  <c r="L43" i="3" a="1"/>
  <c r="L43" i="3" s="1"/>
  <c r="L49" i="3" a="1"/>
  <c r="L49" i="3" s="1"/>
  <c r="L62" i="3" a="1"/>
  <c r="L62" i="3" s="1"/>
  <c r="L68" i="3" a="1"/>
  <c r="L68" i="3" s="1"/>
  <c r="L77" i="3" a="1"/>
  <c r="L77" i="3" s="1"/>
  <c r="L98" i="3" a="1"/>
  <c r="L98" i="3" s="1"/>
  <c r="L112" i="3" a="1"/>
  <c r="L112" i="3" s="1"/>
  <c r="L104" i="3" a="1"/>
  <c r="L104" i="3" s="1"/>
  <c r="L109" i="3" a="1"/>
  <c r="L109" i="3" s="1"/>
  <c r="L30" i="3" a="1"/>
  <c r="L30" i="3" s="1"/>
  <c r="L40" i="3" a="1"/>
  <c r="L40" i="3" s="1"/>
  <c r="L50" i="3" a="1"/>
  <c r="L50" i="3" s="1"/>
  <c r="L55" i="3" a="1"/>
  <c r="L55" i="3" s="1"/>
  <c r="L65" i="3" a="1"/>
  <c r="L65" i="3" s="1"/>
  <c r="L74" i="3" a="1"/>
  <c r="L74" i="3" s="1"/>
  <c r="L79" i="3" a="1"/>
  <c r="L79" i="3" s="1"/>
  <c r="L84" i="3" a="1"/>
  <c r="L84" i="3" s="1"/>
  <c r="L29" i="3" a="1"/>
  <c r="L29" i="3" s="1"/>
  <c r="L35" i="3" a="1"/>
  <c r="L35" i="3" s="1"/>
  <c r="L45" i="3" a="1"/>
  <c r="L45" i="3" s="1"/>
  <c r="L51" i="3" a="1"/>
  <c r="L51" i="3" s="1"/>
  <c r="L63" i="3" a="1"/>
  <c r="L63" i="3" s="1"/>
  <c r="L69" i="3" a="1"/>
  <c r="L69" i="3" s="1"/>
  <c r="L83" i="3" a="1"/>
  <c r="L83" i="3" s="1"/>
  <c r="L102" i="3" a="1"/>
  <c r="L102" i="3" s="1"/>
  <c r="L114" i="3" a="1"/>
  <c r="L114" i="3" s="1"/>
  <c r="L105" i="3" a="1"/>
  <c r="L105" i="3" s="1"/>
  <c r="L113" i="3" a="1"/>
  <c r="L113" i="3" s="1"/>
  <c r="L32" i="3" a="1"/>
  <c r="L32" i="3" s="1"/>
  <c r="L42" i="3" a="1"/>
  <c r="L42" i="3" s="1"/>
  <c r="L52" i="3" a="1"/>
  <c r="L52" i="3" s="1"/>
  <c r="L57" i="3" a="1"/>
  <c r="L57" i="3" s="1"/>
  <c r="L67" i="3" a="1"/>
  <c r="L67" i="3" s="1"/>
  <c r="L75" i="3" a="1"/>
  <c r="L75" i="3" s="1"/>
  <c r="L80" i="3" a="1"/>
  <c r="L80" i="3" s="1"/>
  <c r="L26" i="3" a="1"/>
  <c r="L26" i="3" s="1"/>
  <c r="L31" i="3" a="1"/>
  <c r="L31" i="3" s="1"/>
  <c r="L37" i="3" a="1"/>
  <c r="L37" i="3" s="1"/>
  <c r="L47" i="3" a="1"/>
  <c r="L47" i="3" s="1"/>
  <c r="L58" i="3" a="1"/>
  <c r="L58" i="3" s="1"/>
  <c r="L64" i="3" a="1"/>
  <c r="L64" i="3" s="1"/>
  <c r="L70" i="3" a="1"/>
  <c r="L70" i="3" s="1"/>
  <c r="L85" i="3" a="1"/>
  <c r="L85" i="3" s="1"/>
  <c r="L103" i="3" a="1"/>
  <c r="L103" i="3" s="1"/>
  <c r="L99" i="3" a="1"/>
  <c r="L99" i="3" s="1"/>
  <c r="L107" i="3" a="1"/>
  <c r="L107" i="3" s="1"/>
  <c r="AS9" i="4"/>
  <c r="J151" i="3" a="1"/>
  <c r="J151" i="3" s="1"/>
  <c r="CH161" i="2"/>
  <c r="CG148" i="2"/>
  <c r="DU140" i="2"/>
  <c r="J10" i="3" a="1"/>
  <c r="J10" i="3" s="1"/>
  <c r="J144" i="3" a="1"/>
  <c r="J144" i="3" s="1"/>
  <c r="J362" i="3" a="1"/>
  <c r="J362" i="3" s="1"/>
  <c r="J11" i="3" a="1"/>
  <c r="J11" i="3" s="1"/>
  <c r="J148" i="3" a="1"/>
  <c r="J148" i="3" s="1"/>
  <c r="J145" i="3" a="1"/>
  <c r="J145" i="3" s="1"/>
  <c r="J153" i="3" a="1"/>
  <c r="J153" i="3" s="1"/>
  <c r="J150" i="3" a="1"/>
  <c r="J150" i="3" s="1"/>
  <c r="J147" i="3" a="1"/>
  <c r="J147" i="3" s="1"/>
  <c r="J16" i="3" a="1"/>
  <c r="J16" i="3" s="1"/>
  <c r="J18" i="3" a="1"/>
  <c r="J18" i="3" s="1"/>
  <c r="J370" i="3" a="1"/>
  <c r="J370" i="3" s="1"/>
  <c r="AH370" i="3" s="1"/>
  <c r="DS41" i="2"/>
  <c r="DV22" i="2"/>
  <c r="J72" i="3" a="1"/>
  <c r="J72" i="3" s="1"/>
  <c r="BU94" i="4"/>
  <c r="AS98" i="4"/>
  <c r="CG69" i="2"/>
  <c r="J64" i="3" a="1"/>
  <c r="J64" i="3" s="1"/>
  <c r="J66" i="3" a="1"/>
  <c r="J66" i="3" s="1"/>
  <c r="J99" i="3" a="1"/>
  <c r="J99" i="3" s="1"/>
  <c r="J104" i="3" a="1"/>
  <c r="J104" i="3" s="1"/>
  <c r="J111" i="3" a="1"/>
  <c r="J111" i="3" s="1"/>
  <c r="J115" i="3" a="1"/>
  <c r="J115" i="3" s="1"/>
  <c r="J101" i="3" a="1"/>
  <c r="J101" i="3" s="1"/>
  <c r="J107" i="3" a="1"/>
  <c r="J107" i="3" s="1"/>
  <c r="J112" i="3" a="1"/>
  <c r="J112" i="3" s="1"/>
  <c r="J97" i="3" a="1"/>
  <c r="J97" i="3" s="1"/>
  <c r="J102" i="3" a="1"/>
  <c r="J102" i="3" s="1"/>
  <c r="J108" i="3" a="1"/>
  <c r="J108" i="3" s="1"/>
  <c r="J113" i="3" a="1"/>
  <c r="J113" i="3" s="1"/>
  <c r="J98" i="3" a="1"/>
  <c r="J98" i="3" s="1"/>
  <c r="J103" i="3" a="1"/>
  <c r="J103" i="3" s="1"/>
  <c r="J109" i="3" a="1"/>
  <c r="J109" i="3" s="1"/>
  <c r="J114" i="3" a="1"/>
  <c r="J114" i="3" s="1"/>
  <c r="AS36" i="4"/>
  <c r="BQ51" i="4"/>
  <c r="BT51" i="4" s="1"/>
  <c r="AS65" i="4"/>
  <c r="AS69" i="4"/>
  <c r="CG246" i="2"/>
  <c r="J26" i="3" a="1"/>
  <c r="J26" i="3" s="1"/>
  <c r="J31" i="3" a="1"/>
  <c r="J31" i="3" s="1"/>
  <c r="J35" i="3" a="1"/>
  <c r="J35" i="3" s="1"/>
  <c r="J42" i="3" a="1"/>
  <c r="J42" i="3" s="1"/>
  <c r="J50" i="3" a="1"/>
  <c r="J50" i="3" s="1"/>
  <c r="J48" i="3" a="1"/>
  <c r="J48" i="3" s="1"/>
  <c r="J61" i="3" a="1"/>
  <c r="J61" i="3" s="1"/>
  <c r="J68" i="3" a="1"/>
  <c r="J68" i="3" s="1"/>
  <c r="J77" i="3" a="1"/>
  <c r="J77" i="3" s="1"/>
  <c r="J84" i="3" a="1"/>
  <c r="J84" i="3" s="1"/>
  <c r="J25" i="3" a="1"/>
  <c r="J25" i="3" s="1"/>
  <c r="J29" i="3" a="1"/>
  <c r="J29" i="3" s="1"/>
  <c r="J38" i="3" a="1"/>
  <c r="J38" i="3" s="1"/>
  <c r="J46" i="3" a="1"/>
  <c r="J46" i="3" s="1"/>
  <c r="J49" i="3" a="1"/>
  <c r="J49" i="3" s="1"/>
  <c r="J54" i="3" a="1"/>
  <c r="J54" i="3" s="1"/>
  <c r="J60" i="3" a="1"/>
  <c r="J60" i="3" s="1"/>
  <c r="J67" i="3" a="1"/>
  <c r="J67" i="3" s="1"/>
  <c r="J65" i="3" a="1"/>
  <c r="J65" i="3" s="1"/>
  <c r="J83" i="3" a="1"/>
  <c r="J83" i="3" s="1"/>
  <c r="J33" i="3" a="1"/>
  <c r="J33" i="3" s="1"/>
  <c r="J39" i="3" a="1"/>
  <c r="J39" i="3" s="1"/>
  <c r="J47" i="3" a="1"/>
  <c r="J47" i="3" s="1"/>
  <c r="J55" i="3" a="1"/>
  <c r="J55" i="3" s="1"/>
  <c r="J70" i="3" a="1"/>
  <c r="J70" i="3" s="1"/>
  <c r="J78" i="3" a="1"/>
  <c r="J78" i="3" s="1"/>
  <c r="J81" i="3" a="1"/>
  <c r="J81" i="3" s="1"/>
  <c r="J79" i="3" a="1"/>
  <c r="J79" i="3" s="1"/>
  <c r="DQ188" i="2"/>
  <c r="DV188" i="2" s="1"/>
  <c r="CN246" i="2"/>
  <c r="DD246" i="2"/>
  <c r="DL24" i="2"/>
  <c r="AK148" i="2"/>
  <c r="J28" i="3" a="1"/>
  <c r="J28" i="3" s="1"/>
  <c r="J34" i="3" a="1"/>
  <c r="J34" i="3" s="1"/>
  <c r="J40" i="3" a="1"/>
  <c r="J40" i="3" s="1"/>
  <c r="J45" i="3" a="1"/>
  <c r="J45" i="3" s="1"/>
  <c r="J53" i="3" a="1"/>
  <c r="J53" i="3" s="1"/>
  <c r="J58" i="3" a="1"/>
  <c r="J58" i="3" s="1"/>
  <c r="J63" i="3" a="1"/>
  <c r="J63" i="3" s="1"/>
  <c r="J71" i="3" a="1"/>
  <c r="J71" i="3" s="1"/>
  <c r="J75" i="3" a="1"/>
  <c r="J75" i="3" s="1"/>
  <c r="J76" i="3" a="1"/>
  <c r="J76" i="3" s="1"/>
  <c r="J27" i="3" a="1"/>
  <c r="J27" i="3" s="1"/>
  <c r="J32" i="3" a="1"/>
  <c r="J32" i="3" s="1"/>
  <c r="J36" i="3" a="1"/>
  <c r="J36" i="3" s="1"/>
  <c r="J43" i="3" a="1"/>
  <c r="J43" i="3" s="1"/>
  <c r="J52" i="3" a="1"/>
  <c r="J52" i="3" s="1"/>
  <c r="J57" i="3" a="1"/>
  <c r="J57" i="3" s="1"/>
  <c r="J62" i="3" a="1"/>
  <c r="J62" i="3" s="1"/>
  <c r="J69" i="3" a="1"/>
  <c r="J69" i="3" s="1"/>
  <c r="J74" i="3" a="1"/>
  <c r="J74" i="3" s="1"/>
  <c r="J85" i="3" a="1"/>
  <c r="J85" i="3" s="1"/>
  <c r="J37" i="3" a="1"/>
  <c r="J37" i="3" s="1"/>
  <c r="J44" i="3" a="1"/>
  <c r="J44" i="3" s="1"/>
  <c r="J51" i="3" a="1"/>
  <c r="J51" i="3" s="1"/>
  <c r="J59" i="3" a="1"/>
  <c r="J59" i="3" s="1"/>
  <c r="J73" i="3" a="1"/>
  <c r="J73" i="3" s="1"/>
  <c r="J82" i="3" a="1"/>
  <c r="J82" i="3" s="1"/>
  <c r="J80" i="3" a="1"/>
  <c r="J80" i="3" s="1"/>
  <c r="J30" i="3" a="1"/>
  <c r="J30" i="3" s="1"/>
  <c r="CR101" i="2"/>
  <c r="DS88" i="2"/>
  <c r="DS123" i="2"/>
  <c r="DQ143" i="2"/>
  <c r="DV143" i="2" s="1"/>
  <c r="CS121" i="2"/>
  <c r="DD201" i="2"/>
  <c r="DJ24" i="2"/>
  <c r="CR148" i="2"/>
  <c r="DS132" i="2"/>
  <c r="DP161" i="2"/>
  <c r="CA24" i="4"/>
  <c r="J152" i="3" a="1"/>
  <c r="J152" i="3" s="1"/>
  <c r="J366" i="3" a="1"/>
  <c r="J366" i="3" s="1"/>
  <c r="AH366" i="3" s="1"/>
  <c r="J368" i="3" a="1"/>
  <c r="J368" i="3" s="1"/>
  <c r="AH368" i="3" s="1"/>
  <c r="BS31" i="4"/>
  <c r="BU49" i="4"/>
  <c r="BS60" i="4"/>
  <c r="J372" i="3" a="1"/>
  <c r="J372" i="3" s="1"/>
  <c r="AH372" i="3" s="1"/>
  <c r="J367" i="3" a="1"/>
  <c r="J367" i="3" s="1"/>
  <c r="AH367" i="3" s="1"/>
  <c r="J365" i="3" a="1"/>
  <c r="J365" i="3" s="1"/>
  <c r="AH365" i="3" s="1"/>
  <c r="J5" i="3" a="1"/>
  <c r="J5" i="3" s="1"/>
  <c r="J7" i="3" s="1"/>
  <c r="AK161" i="2"/>
  <c r="DS45" i="2"/>
  <c r="DQ43" i="2"/>
  <c r="DT43" i="2" s="1"/>
  <c r="DQ21" i="2"/>
  <c r="DT21" i="2" s="1"/>
  <c r="DQ88" i="2"/>
  <c r="DV88" i="2" s="1"/>
  <c r="AI211" i="2"/>
  <c r="BS91" i="4"/>
  <c r="AS76" i="4"/>
  <c r="CV246" i="2"/>
  <c r="DU124" i="2"/>
  <c r="DS31" i="2"/>
  <c r="CH69" i="2"/>
  <c r="CS143" i="2"/>
  <c r="DJ246" i="2"/>
  <c r="CQ148" i="2"/>
  <c r="DS57" i="2"/>
  <c r="CY201" i="2"/>
  <c r="BU60" i="4"/>
  <c r="BQ102" i="4"/>
  <c r="CJ69" i="2"/>
  <c r="CJ252" i="2" s="1"/>
  <c r="CH148" i="2"/>
  <c r="AK166" i="2"/>
  <c r="BS9" i="4"/>
  <c r="BU15" i="4"/>
  <c r="BQ31" i="4"/>
  <c r="BQ36" i="4"/>
  <c r="BQ43" i="4"/>
  <c r="BQ52" i="4"/>
  <c r="BQ60" i="4"/>
  <c r="BV60" i="4" s="1"/>
  <c r="BQ63" i="4"/>
  <c r="BQ94" i="4"/>
  <c r="BT94" i="4" s="1"/>
  <c r="CI69" i="2"/>
  <c r="CI252" i="2" s="1"/>
  <c r="CH101" i="2"/>
  <c r="J149" i="3" a="1"/>
  <c r="J149" i="3" s="1"/>
  <c r="J8" i="3" a="1"/>
  <c r="J8" i="3" s="1"/>
  <c r="J146" i="3" a="1"/>
  <c r="J146" i="3" s="1"/>
  <c r="J374" i="3" a="1"/>
  <c r="J374" i="3" s="1"/>
  <c r="AH374" i="3" s="1"/>
  <c r="J15" i="3" a="1"/>
  <c r="J15" i="3" s="1"/>
  <c r="J371" i="3" a="1"/>
  <c r="J371" i="3" s="1"/>
  <c r="AH371" i="3" s="1"/>
  <c r="J369" i="3" a="1"/>
  <c r="J369" i="3" s="1"/>
  <c r="AH369" i="3" s="1"/>
  <c r="J373" i="3" a="1"/>
  <c r="J373" i="3" s="1"/>
  <c r="AH373" i="3" s="1"/>
  <c r="J364" i="3" a="1"/>
  <c r="J364" i="3" s="1"/>
  <c r="AH364" i="3" s="1"/>
  <c r="J363" i="3" a="1"/>
  <c r="J363" i="3" s="1"/>
  <c r="AH363" i="3" s="1"/>
  <c r="AV154" i="3"/>
  <c r="E181" i="3"/>
  <c r="DU41" i="2"/>
  <c r="DU153" i="2"/>
  <c r="DN101" i="2"/>
  <c r="DT22" i="2"/>
  <c r="DU123" i="2"/>
  <c r="DS55" i="2"/>
  <c r="EA57" i="2"/>
  <c r="CS243" i="2"/>
  <c r="CS188" i="2"/>
  <c r="DQ156" i="2"/>
  <c r="DV156" i="2" s="1"/>
  <c r="DQ144" i="2"/>
  <c r="DT144" i="2" s="1"/>
  <c r="DL69" i="2"/>
  <c r="CR161" i="2"/>
  <c r="CS98" i="2"/>
  <c r="CS156" i="2"/>
  <c r="DU66" i="2"/>
  <c r="DU62" i="2"/>
  <c r="DU31" i="2"/>
  <c r="CV161" i="2"/>
  <c r="CY24" i="2"/>
  <c r="CN161" i="2"/>
  <c r="DH69" i="2"/>
  <c r="DQ107" i="2"/>
  <c r="DU59" i="2"/>
  <c r="DS51" i="2"/>
  <c r="DQ207" i="2"/>
  <c r="DT207" i="2" s="1"/>
  <c r="CS153" i="2"/>
  <c r="CR201" i="2"/>
  <c r="CV24" i="2"/>
  <c r="DV211" i="2"/>
  <c r="CX252" i="2"/>
  <c r="CZ252" i="2"/>
  <c r="DO252" i="2"/>
  <c r="CK252" i="2"/>
  <c r="CP252" i="2"/>
  <c r="CM252" i="2"/>
  <c r="CU252" i="2"/>
  <c r="DS153" i="2"/>
  <c r="DQ153" i="2"/>
  <c r="DT153" i="2" s="1"/>
  <c r="DS40" i="2"/>
  <c r="DS181" i="2"/>
  <c r="DP148" i="2"/>
  <c r="DU20" i="2"/>
  <c r="DU21" i="2"/>
  <c r="CS123" i="2"/>
  <c r="CS54" i="2"/>
  <c r="DQ31" i="2"/>
  <c r="DT31" i="2" s="1"/>
  <c r="CS88" i="2"/>
  <c r="CS66" i="2"/>
  <c r="CS47" i="2"/>
  <c r="CS62" i="2"/>
  <c r="CS51" i="2"/>
  <c r="CN24" i="2"/>
  <c r="DD161" i="2"/>
  <c r="DD148" i="2"/>
  <c r="DD24" i="2"/>
  <c r="DF161" i="2"/>
  <c r="DL161" i="2"/>
  <c r="DN69" i="2"/>
  <c r="DN24" i="2"/>
  <c r="CR246" i="2"/>
  <c r="F281" i="3"/>
  <c r="F352" i="3" s="1"/>
  <c r="C198" i="3"/>
  <c r="C269" i="3" s="1"/>
  <c r="B281" i="3"/>
  <c r="B352" i="3" s="1"/>
  <c r="DQ132" i="2"/>
  <c r="DT132" i="2" s="1"/>
  <c r="DE252" i="2"/>
  <c r="DM252" i="2"/>
  <c r="D181" i="3"/>
  <c r="DQ57" i="2"/>
  <c r="DV57" i="2" s="1"/>
  <c r="DT245" i="2"/>
  <c r="DU205" i="2"/>
  <c r="DU188" i="2"/>
  <c r="AD252" i="2"/>
  <c r="DP201" i="2"/>
  <c r="DQ49" i="2"/>
  <c r="DV49" i="2" s="1"/>
  <c r="CS32" i="2"/>
  <c r="CS38" i="2"/>
  <c r="CS20" i="2"/>
  <c r="DQ85" i="2"/>
  <c r="DT85" i="2" s="1"/>
  <c r="CS52" i="2"/>
  <c r="DQ34" i="2"/>
  <c r="CS58" i="2"/>
  <c r="CS28" i="2"/>
  <c r="DH161" i="2"/>
  <c r="DH24" i="2"/>
  <c r="DJ161" i="2"/>
  <c r="DL101" i="2"/>
  <c r="CR24" i="2"/>
  <c r="B181" i="3"/>
  <c r="E198" i="3"/>
  <c r="E269" i="3" s="1"/>
  <c r="D198" i="3"/>
  <c r="D269" i="3" s="1"/>
  <c r="D281" i="3"/>
  <c r="D352" i="3" s="1"/>
  <c r="E281" i="3"/>
  <c r="E352" i="3" s="1"/>
  <c r="BU86" i="4"/>
  <c r="BS15" i="4"/>
  <c r="AS23" i="4"/>
  <c r="BS28" i="4"/>
  <c r="BQ28" i="4"/>
  <c r="BT28" i="4" s="1"/>
  <c r="BQ30" i="4"/>
  <c r="BV30" i="4" s="1"/>
  <c r="AS31" i="4"/>
  <c r="BQ41" i="4"/>
  <c r="BT41" i="4" s="1"/>
  <c r="BU51" i="4"/>
  <c r="BS63" i="4"/>
  <c r="BQ65" i="4"/>
  <c r="BT65" i="4" s="1"/>
  <c r="CG101" i="2"/>
  <c r="DU181" i="2"/>
  <c r="CL161" i="2"/>
  <c r="CQ161" i="2"/>
  <c r="CQ201" i="2"/>
  <c r="CS222" i="2"/>
  <c r="DU36" i="2"/>
  <c r="BL122" i="4"/>
  <c r="BQ19" i="4"/>
  <c r="BT19" i="4" s="1"/>
  <c r="DU49" i="2"/>
  <c r="AI221" i="2"/>
  <c r="DS221" i="2"/>
  <c r="DS52" i="2"/>
  <c r="DF101" i="2"/>
  <c r="DF69" i="2"/>
  <c r="DH148" i="2"/>
  <c r="DJ148" i="2"/>
  <c r="DL246" i="2"/>
  <c r="DN148" i="2"/>
  <c r="CS212" i="2"/>
  <c r="CN69" i="2"/>
  <c r="CL24" i="2"/>
  <c r="AI7" i="2"/>
  <c r="DU207" i="2"/>
  <c r="DU187" i="2"/>
  <c r="DS212" i="2"/>
  <c r="DS36" i="2"/>
  <c r="CS220" i="2"/>
  <c r="CQ24" i="2"/>
  <c r="CS95" i="2"/>
  <c r="CV201" i="2"/>
  <c r="CY161" i="2"/>
  <c r="CH246" i="2"/>
  <c r="DS205" i="2"/>
  <c r="DS62" i="2"/>
  <c r="DP69" i="2"/>
  <c r="DS140" i="2"/>
  <c r="DQ28" i="2"/>
  <c r="DV28" i="2" s="1"/>
  <c r="DS143" i="2"/>
  <c r="CS187" i="2"/>
  <c r="G21" i="3"/>
  <c r="F181" i="3"/>
  <c r="DS144" i="2"/>
  <c r="DU144" i="2"/>
  <c r="DS95" i="2"/>
  <c r="DU95" i="2"/>
  <c r="DU155" i="2"/>
  <c r="DS155" i="2"/>
  <c r="DS60" i="2"/>
  <c r="DU156" i="2"/>
  <c r="CN201" i="2"/>
  <c r="DQ51" i="2"/>
  <c r="DV51" i="2" s="1"/>
  <c r="CS144" i="2"/>
  <c r="DQ135" i="2"/>
  <c r="CS155" i="2"/>
  <c r="DQ241" i="2"/>
  <c r="DT241" i="2" s="1"/>
  <c r="DU43" i="2"/>
  <c r="DU60" i="2"/>
  <c r="DU40" i="2"/>
  <c r="DS59" i="2"/>
  <c r="DU51" i="2"/>
  <c r="DQ98" i="2"/>
  <c r="CV101" i="2"/>
  <c r="DQ66" i="2"/>
  <c r="DV66" i="2" s="1"/>
  <c r="DQ63" i="2"/>
  <c r="DV63" i="2" s="1"/>
  <c r="DQ47" i="2"/>
  <c r="DQ45" i="2"/>
  <c r="DV45" i="2" s="1"/>
  <c r="DQ62" i="2"/>
  <c r="DV62" i="2" s="1"/>
  <c r="DQ54" i="2"/>
  <c r="DV54" i="2" s="1"/>
  <c r="CV69" i="2"/>
  <c r="CY148" i="2"/>
  <c r="DQ187" i="2"/>
  <c r="DV187" i="2" s="1"/>
  <c r="DU145" i="2"/>
  <c r="DU221" i="2"/>
  <c r="DU57" i="2"/>
  <c r="DQ52" i="2"/>
  <c r="AE24" i="2"/>
  <c r="AG24" i="2" s="1"/>
  <c r="AI24" i="2" s="1"/>
  <c r="DS156" i="2"/>
  <c r="DS20" i="2"/>
  <c r="DS187" i="2"/>
  <c r="DP24" i="2"/>
  <c r="DS64" i="2"/>
  <c r="CS142" i="2"/>
  <c r="DU55" i="2"/>
  <c r="DS49" i="2"/>
  <c r="BS23" i="4"/>
  <c r="AF23" i="4"/>
  <c r="DU98" i="2"/>
  <c r="BU75" i="4"/>
  <c r="AF75" i="4"/>
  <c r="CA75" i="4" s="1"/>
  <c r="BS75" i="4"/>
  <c r="C181" i="3"/>
  <c r="B198" i="3"/>
  <c r="B269" i="3" s="1"/>
  <c r="C281" i="3"/>
  <c r="C352" i="3" s="1"/>
  <c r="AY122" i="4"/>
  <c r="BH122" i="4"/>
  <c r="BU23" i="4"/>
  <c r="BU52" i="4"/>
  <c r="BS59" i="4"/>
  <c r="AS60" i="4"/>
  <c r="BQ76" i="4"/>
  <c r="DU88" i="2"/>
  <c r="AF252" i="2"/>
  <c r="DB24" i="2"/>
  <c r="DB69" i="2"/>
  <c r="DQ95" i="2"/>
  <c r="DV95" i="2" s="1"/>
  <c r="DQ134" i="2"/>
  <c r="DV134" i="2" s="1"/>
  <c r="DB161" i="2"/>
  <c r="DB201" i="2"/>
  <c r="DR252" i="2"/>
  <c r="CO252" i="2"/>
  <c r="CW252" i="2"/>
  <c r="DC252" i="2"/>
  <c r="DK252" i="2"/>
  <c r="AS43" i="4"/>
  <c r="AS14" i="4"/>
  <c r="BQ69" i="4"/>
  <c r="AS94" i="4"/>
  <c r="BQ98" i="4"/>
  <c r="BT98" i="4" s="1"/>
  <c r="BQ9" i="4"/>
  <c r="BT9" i="4" s="1"/>
  <c r="AJ122" i="4"/>
  <c r="AJ129" i="4" s="1"/>
  <c r="AH122" i="4"/>
  <c r="AH129" i="4" s="1"/>
  <c r="CS145" i="2"/>
  <c r="CS130" i="2"/>
  <c r="DQ39" i="2"/>
  <c r="DT39" i="2" s="1"/>
  <c r="DQ58" i="2"/>
  <c r="DT58" i="2" s="1"/>
  <c r="CS41" i="2"/>
  <c r="CS59" i="2"/>
  <c r="DQ36" i="2"/>
  <c r="DT36" i="2" s="1"/>
  <c r="DD101" i="2"/>
  <c r="DF201" i="2"/>
  <c r="DF148" i="2"/>
  <c r="DF24" i="2"/>
  <c r="DH246" i="2"/>
  <c r="DH201" i="2"/>
  <c r="DJ201" i="2"/>
  <c r="DL201" i="2"/>
  <c r="DN246" i="2"/>
  <c r="DN161" i="2"/>
  <c r="CS132" i="2"/>
  <c r="CS31" i="2"/>
  <c r="DQ94" i="2"/>
  <c r="DT94" i="2" s="1"/>
  <c r="CS134" i="2"/>
  <c r="CS207" i="2"/>
  <c r="DU52" i="2"/>
  <c r="CV148" i="2"/>
  <c r="AF15" i="4"/>
  <c r="AF63" i="4"/>
  <c r="AS63" i="4"/>
  <c r="AG243" i="2"/>
  <c r="AG246" i="2" s="1"/>
  <c r="AE246" i="2"/>
  <c r="DU94" i="2"/>
  <c r="DS94" i="2"/>
  <c r="DS85" i="2"/>
  <c r="DU85" i="2"/>
  <c r="DS47" i="2"/>
  <c r="DU47" i="2"/>
  <c r="CS42" i="2"/>
  <c r="DQ42" i="2"/>
  <c r="DV42" i="2" s="1"/>
  <c r="BU14" i="4"/>
  <c r="BS14" i="4"/>
  <c r="AF14" i="4"/>
  <c r="AF98" i="4"/>
  <c r="BU98" i="4"/>
  <c r="BS98" i="4"/>
  <c r="AF104" i="4"/>
  <c r="BU104" i="4"/>
  <c r="BS104" i="4"/>
  <c r="DS222" i="2"/>
  <c r="AI222" i="2"/>
  <c r="AI220" i="2"/>
  <c r="DU220" i="2"/>
  <c r="DS66" i="2"/>
  <c r="AE69" i="2"/>
  <c r="AG69" i="2" s="1"/>
  <c r="AI69" i="2" s="1"/>
  <c r="DQ60" i="2"/>
  <c r="CS60" i="2"/>
  <c r="DU245" i="2"/>
  <c r="DS245" i="2"/>
  <c r="DB101" i="2"/>
  <c r="DQ86" i="2"/>
  <c r="DB148" i="2"/>
  <c r="DB246" i="2"/>
  <c r="DA252" i="2"/>
  <c r="AH148" i="2"/>
  <c r="AC101" i="2"/>
  <c r="AE86" i="2"/>
  <c r="AG86" i="2" s="1"/>
  <c r="AI86" i="2" s="1"/>
  <c r="DS42" i="2"/>
  <c r="DU42" i="2"/>
  <c r="DU39" i="2"/>
  <c r="DS39" i="2"/>
  <c r="DU54" i="2"/>
  <c r="DS54" i="2"/>
  <c r="DS28" i="2"/>
  <c r="DU28" i="2"/>
  <c r="DS21" i="2"/>
  <c r="DU222" i="2"/>
  <c r="DS134" i="2"/>
  <c r="DU134" i="2"/>
  <c r="DQ221" i="2"/>
  <c r="CS221" i="2"/>
  <c r="DQ205" i="2"/>
  <c r="CS205" i="2"/>
  <c r="CL201" i="2"/>
  <c r="CS140" i="2"/>
  <c r="DQ140" i="2"/>
  <c r="CS107" i="2"/>
  <c r="CL148" i="2"/>
  <c r="DQ92" i="2"/>
  <c r="CL101" i="2"/>
  <c r="CS92" i="2"/>
  <c r="CS55" i="2"/>
  <c r="DQ55" i="2"/>
  <c r="DQ64" i="2"/>
  <c r="CS64" i="2"/>
  <c r="CL246" i="2"/>
  <c r="DS220" i="2"/>
  <c r="DQ145" i="2"/>
  <c r="DQ220" i="2"/>
  <c r="DV220" i="2" s="1"/>
  <c r="DS98" i="2"/>
  <c r="DP101" i="2"/>
  <c r="DS188" i="2"/>
  <c r="DU63" i="2"/>
  <c r="DS63" i="2"/>
  <c r="DU45" i="2"/>
  <c r="DU58" i="2"/>
  <c r="DU64" i="2"/>
  <c r="CS241" i="2"/>
  <c r="CQ246" i="2"/>
  <c r="DQ181" i="2"/>
  <c r="DQ59" i="2"/>
  <c r="DQ41" i="2"/>
  <c r="DU212" i="2"/>
  <c r="AE148" i="2"/>
  <c r="AG148" i="2" s="1"/>
  <c r="DQ222" i="2"/>
  <c r="DV222" i="2" s="1"/>
  <c r="CS181" i="2"/>
  <c r="CS94" i="2"/>
  <c r="CL69" i="2"/>
  <c r="DQ32" i="2"/>
  <c r="DQ38" i="2"/>
  <c r="CS36" i="2"/>
  <c r="DQ20" i="2"/>
  <c r="DQ123" i="2"/>
  <c r="CN101" i="2"/>
  <c r="CS34" i="2"/>
  <c r="DD69" i="2"/>
  <c r="DF246" i="2"/>
  <c r="DH101" i="2"/>
  <c r="DJ69" i="2"/>
  <c r="DN201" i="2"/>
  <c r="DQ212" i="2"/>
  <c r="DS145" i="2"/>
  <c r="DS32" i="2"/>
  <c r="DU32" i="2"/>
  <c r="DU38" i="2"/>
  <c r="CY246" i="2"/>
  <c r="DU143" i="2"/>
  <c r="DU132" i="2"/>
  <c r="DU22" i="2"/>
  <c r="DS22" i="2"/>
  <c r="DI252" i="2"/>
  <c r="AJ252" i="2"/>
  <c r="DP246" i="2"/>
  <c r="DQ155" i="2"/>
  <c r="DS207" i="2"/>
  <c r="DS241" i="2"/>
  <c r="DU92" i="2"/>
  <c r="DS58" i="2"/>
  <c r="DS43" i="2"/>
  <c r="CS135" i="2"/>
  <c r="AE161" i="2"/>
  <c r="AG161" i="2" s="1"/>
  <c r="AI161" i="2" s="1"/>
  <c r="DS92" i="2"/>
  <c r="DS38" i="2"/>
  <c r="AC148" i="2"/>
  <c r="CS21" i="2"/>
  <c r="CS124" i="2"/>
  <c r="CS86" i="2"/>
  <c r="CS40" i="2"/>
  <c r="DQ40" i="2"/>
  <c r="DJ101" i="2"/>
  <c r="DL148" i="2"/>
  <c r="CN148" i="2"/>
  <c r="CR69" i="2"/>
  <c r="CQ69" i="2"/>
  <c r="CQ101" i="2"/>
  <c r="DQ243" i="2"/>
  <c r="CY69" i="2"/>
  <c r="CY101" i="2"/>
  <c r="DS211" i="2"/>
  <c r="DT211" i="2"/>
  <c r="CT252" i="2"/>
  <c r="DG252" i="2"/>
  <c r="CG308" i="2"/>
  <c r="F198" i="3"/>
  <c r="F269" i="3" s="1"/>
  <c r="AF53" i="4"/>
  <c r="BU53" i="4"/>
  <c r="BS53" i="4"/>
  <c r="AR122" i="4"/>
  <c r="BQ59" i="4"/>
  <c r="AL122" i="4"/>
  <c r="AS59" i="4"/>
  <c r="BF122" i="4"/>
  <c r="BS65" i="4"/>
  <c r="AF65" i="4"/>
  <c r="BU65" i="4"/>
  <c r="AF102" i="4"/>
  <c r="BS102" i="4"/>
  <c r="BU102" i="4"/>
  <c r="AF9" i="4"/>
  <c r="AD122" i="4"/>
  <c r="BU9" i="4"/>
  <c r="BQ75" i="4"/>
  <c r="BV75" i="4" s="1"/>
  <c r="AS75" i="4"/>
  <c r="BU76" i="4"/>
  <c r="BS76" i="4"/>
  <c r="AF80" i="4"/>
  <c r="BS80" i="4"/>
  <c r="BU80" i="4"/>
  <c r="AS80" i="4"/>
  <c r="BQ80" i="4"/>
  <c r="AF81" i="4"/>
  <c r="BU81" i="4"/>
  <c r="BS81" i="4"/>
  <c r="AS81" i="4"/>
  <c r="BQ81" i="4"/>
  <c r="BT82" i="4"/>
  <c r="BS82" i="4"/>
  <c r="BU82" i="4"/>
  <c r="AF82" i="4"/>
  <c r="AI122" i="4"/>
  <c r="AI129" i="4" s="1"/>
  <c r="BS94" i="4"/>
  <c r="AF94" i="4"/>
  <c r="AS91" i="4"/>
  <c r="BQ91" i="4"/>
  <c r="BD122" i="4"/>
  <c r="BS19" i="4"/>
  <c r="BU19" i="4"/>
  <c r="BP122" i="4"/>
  <c r="BU122" i="4" s="1"/>
  <c r="BS29" i="4"/>
  <c r="AF29" i="4"/>
  <c r="BS30" i="4"/>
  <c r="AF30" i="4"/>
  <c r="BS43" i="4"/>
  <c r="AF43" i="4"/>
  <c r="BS51" i="4"/>
  <c r="AF51" i="4"/>
  <c r="BU69" i="4"/>
  <c r="BS69" i="4"/>
  <c r="AF69" i="4"/>
  <c r="AS86" i="4"/>
  <c r="BQ86" i="4"/>
  <c r="AB122" i="4"/>
  <c r="BS41" i="4"/>
  <c r="AQ122" i="4"/>
  <c r="AS41" i="4"/>
  <c r="BS86" i="4"/>
  <c r="BQ14" i="4"/>
  <c r="BT14" i="4" s="1"/>
  <c r="BU28" i="4"/>
  <c r="BS52" i="4"/>
  <c r="BU59" i="4"/>
  <c r="BS49" i="4"/>
  <c r="AS53" i="4"/>
  <c r="BQ53" i="4"/>
  <c r="BV82" i="4"/>
  <c r="BU87" i="4"/>
  <c r="BT87" i="4"/>
  <c r="BS87" i="4"/>
  <c r="BQ104" i="4"/>
  <c r="AS104" i="4"/>
  <c r="AN122" i="4"/>
  <c r="BU29" i="4"/>
  <c r="AF59" i="4"/>
  <c r="BU91" i="4"/>
  <c r="BS36" i="4"/>
  <c r="BU41" i="4"/>
  <c r="BB122" i="4"/>
  <c r="BJ122" i="4"/>
  <c r="BQ15" i="4"/>
  <c r="AS15" i="4"/>
  <c r="AS19" i="4"/>
  <c r="AV122" i="4"/>
  <c r="BN122" i="4"/>
  <c r="BQ23" i="4"/>
  <c r="AS28" i="4"/>
  <c r="BQ29" i="4"/>
  <c r="AS29" i="4"/>
  <c r="AS30" i="4"/>
  <c r="BU30" i="4"/>
  <c r="BU31" i="4"/>
  <c r="BU36" i="4"/>
  <c r="BU43" i="4"/>
  <c r="BQ49" i="4"/>
  <c r="AS49" i="4"/>
  <c r="AS51" i="4"/>
  <c r="AS52" i="4"/>
  <c r="BV87" i="4"/>
  <c r="AS102" i="4"/>
  <c r="Q21" i="3" l="1"/>
  <c r="Q97" i="3" a="1"/>
  <c r="Q97" i="3" s="1"/>
  <c r="Q62" i="3" a="1"/>
  <c r="Q62" i="3" s="1"/>
  <c r="Q51" i="3" a="1"/>
  <c r="Q51" i="3" s="1"/>
  <c r="Q40" i="3" a="1"/>
  <c r="Q40" i="3" s="1"/>
  <c r="Q27" i="3" a="1"/>
  <c r="Q27" i="3" s="1"/>
  <c r="Q83" i="3" a="1"/>
  <c r="Q83" i="3" s="1"/>
  <c r="Q65" i="3" a="1"/>
  <c r="Q65" i="3" s="1"/>
  <c r="Q54" i="3" a="1"/>
  <c r="Q54" i="3" s="1"/>
  <c r="Q46" i="3" a="1"/>
  <c r="Q46" i="3" s="1"/>
  <c r="Q35" i="3" a="1"/>
  <c r="Q35" i="3" s="1"/>
  <c r="Q113" i="3" a="1"/>
  <c r="Q113" i="3" s="1"/>
  <c r="Q82" i="3" a="1"/>
  <c r="Q82" i="3" s="1"/>
  <c r="Q69" i="3" a="1"/>
  <c r="Q69" i="3" s="1"/>
  <c r="Q81" i="3" a="1"/>
  <c r="Q81" i="3" s="1"/>
  <c r="Q42" i="3" a="1"/>
  <c r="Q42" i="3" s="1"/>
  <c r="Q57" i="3" a="1"/>
  <c r="Q57" i="3" s="1"/>
  <c r="Q104" i="3" a="1"/>
  <c r="Q104" i="3" s="1"/>
  <c r="Q26" i="3" a="1"/>
  <c r="Q26" i="3" s="1"/>
  <c r="Q29" i="3" a="1"/>
  <c r="Q29" i="3" s="1"/>
  <c r="Q109" i="3" a="1"/>
  <c r="Q109" i="3" s="1"/>
  <c r="Q84" i="3" a="1"/>
  <c r="Q84" i="3" s="1"/>
  <c r="Q60" i="3" a="1"/>
  <c r="Q60" i="3" s="1"/>
  <c r="Q49" i="3" a="1"/>
  <c r="Q49" i="3" s="1"/>
  <c r="Q38" i="3" a="1"/>
  <c r="Q38" i="3" s="1"/>
  <c r="Q101" i="3" a="1"/>
  <c r="Q101" i="3" s="1"/>
  <c r="Q76" i="3" a="1"/>
  <c r="Q76" i="3" s="1"/>
  <c r="Q63" i="3" a="1"/>
  <c r="Q63" i="3" s="1"/>
  <c r="Q52" i="3" a="1"/>
  <c r="Q52" i="3" s="1"/>
  <c r="Q44" i="3" a="1"/>
  <c r="Q44" i="3" s="1"/>
  <c r="Q33" i="3" a="1"/>
  <c r="Q33" i="3" s="1"/>
  <c r="Q111" i="3" a="1"/>
  <c r="Q111" i="3" s="1"/>
  <c r="Q80" i="3" a="1"/>
  <c r="Q80" i="3" s="1"/>
  <c r="Q67" i="3" a="1"/>
  <c r="Q67" i="3" s="1"/>
  <c r="Q71" i="3" a="1"/>
  <c r="Q71" i="3" s="1"/>
  <c r="Q108" i="3" a="1"/>
  <c r="Q108" i="3" s="1"/>
  <c r="Q41" i="3" a="1"/>
  <c r="Q41" i="3" s="1"/>
  <c r="Q74" i="3" a="1"/>
  <c r="Q74" i="3" s="1"/>
  <c r="Q112" i="3" a="1"/>
  <c r="Q112" i="3" s="1"/>
  <c r="Q102" i="3" a="1"/>
  <c r="Q102" i="3" s="1"/>
  <c r="Q72" i="3" a="1"/>
  <c r="Q72" i="3" s="1"/>
  <c r="Q58" i="3" a="1"/>
  <c r="Q58" i="3" s="1"/>
  <c r="Q47" i="3" a="1"/>
  <c r="Q47" i="3" s="1"/>
  <c r="Q36" i="3" a="1"/>
  <c r="Q36" i="3" s="1"/>
  <c r="Q98" i="3" a="1"/>
  <c r="Q98" i="3" s="1"/>
  <c r="Q73" i="3" a="1"/>
  <c r="Q73" i="3" s="1"/>
  <c r="Q61" i="3" a="1"/>
  <c r="Q61" i="3" s="1"/>
  <c r="Q50" i="3" a="1"/>
  <c r="Q50" i="3" s="1"/>
  <c r="Q39" i="3" a="1"/>
  <c r="Q39" i="3" s="1"/>
  <c r="Q25" i="3" a="1"/>
  <c r="Q25" i="3" s="1"/>
  <c r="Q107" i="3" a="1"/>
  <c r="Q107" i="3" s="1"/>
  <c r="Q78" i="3" a="1"/>
  <c r="Q78" i="3" s="1"/>
  <c r="Q56" i="3" a="1"/>
  <c r="Q56" i="3" s="1"/>
  <c r="Q43" i="3" a="1"/>
  <c r="Q43" i="3" s="1"/>
  <c r="Q77" i="3" a="1"/>
  <c r="Q77" i="3" s="1"/>
  <c r="Q32" i="3" a="1"/>
  <c r="Q32" i="3" s="1"/>
  <c r="Q55" i="3" a="1"/>
  <c r="Q55" i="3" s="1"/>
  <c r="Q79" i="3" a="1"/>
  <c r="Q79" i="3" s="1"/>
  <c r="Q99" i="3" a="1"/>
  <c r="Q99" i="3" s="1"/>
  <c r="Q64" i="3" a="1"/>
  <c r="Q64" i="3" s="1"/>
  <c r="Q53" i="3" a="1"/>
  <c r="Q53" i="3" s="1"/>
  <c r="Q45" i="3" a="1"/>
  <c r="Q45" i="3" s="1"/>
  <c r="Q34" i="3" a="1"/>
  <c r="Q34" i="3" s="1"/>
  <c r="Q85" i="3" a="1"/>
  <c r="Q85" i="3" s="1"/>
  <c r="Q70" i="3" a="1"/>
  <c r="Q70" i="3" s="1"/>
  <c r="Q59" i="3" a="1"/>
  <c r="Q59" i="3" s="1"/>
  <c r="Q48" i="3" a="1"/>
  <c r="Q48" i="3" s="1"/>
  <c r="Q37" i="3" a="1"/>
  <c r="Q37" i="3" s="1"/>
  <c r="Q115" i="3" a="1"/>
  <c r="Q115" i="3" s="1"/>
  <c r="Q103" i="3" a="1"/>
  <c r="Q103" i="3" s="1"/>
  <c r="Q75" i="3" a="1"/>
  <c r="Q75" i="3" s="1"/>
  <c r="Q114" i="3" a="1"/>
  <c r="Q114" i="3" s="1"/>
  <c r="Q30" i="3" a="1"/>
  <c r="Q30" i="3" s="1"/>
  <c r="Q66" i="3" a="1"/>
  <c r="Q66" i="3" s="1"/>
  <c r="Q28" i="3" a="1"/>
  <c r="Q28" i="3" s="1"/>
  <c r="Q31" i="3" a="1"/>
  <c r="Q31" i="3" s="1"/>
  <c r="Q68" i="3" a="1"/>
  <c r="Q68" i="3" s="1"/>
  <c r="O392" i="3" a="1"/>
  <c r="O392" i="3" s="1"/>
  <c r="O14" i="3" a="1"/>
  <c r="O14" i="3" s="1"/>
  <c r="O401" i="3" a="1"/>
  <c r="O401" i="3" s="1"/>
  <c r="O393" i="3" a="1"/>
  <c r="O393" i="3" s="1"/>
  <c r="O13" i="3" a="1"/>
  <c r="O13" i="3" s="1"/>
  <c r="O5" i="3" a="1"/>
  <c r="O5" i="3" s="1"/>
  <c r="O398" i="3" a="1"/>
  <c r="O398" i="3" s="1"/>
  <c r="O390" i="3" a="1"/>
  <c r="O390" i="3" s="1"/>
  <c r="O12" i="3" a="1"/>
  <c r="O12" i="3" s="1"/>
  <c r="O399" i="3" a="1"/>
  <c r="O399" i="3" s="1"/>
  <c r="O391" i="3" a="1"/>
  <c r="O391" i="3" s="1"/>
  <c r="O11" i="3" a="1"/>
  <c r="O11" i="3" s="1"/>
  <c r="O400" i="3" a="1"/>
  <c r="O400" i="3" s="1"/>
  <c r="O396" i="3" a="1"/>
  <c r="O396" i="3" s="1"/>
  <c r="O18" i="3" a="1"/>
  <c r="O18" i="3" s="1"/>
  <c r="O10" i="3" a="1"/>
  <c r="O10" i="3" s="1"/>
  <c r="O397" i="3" a="1"/>
  <c r="O397" i="3" s="1"/>
  <c r="O17" i="3" a="1"/>
  <c r="O17" i="3" s="1"/>
  <c r="O9" i="3" a="1"/>
  <c r="O9" i="3" s="1"/>
  <c r="O402" i="3" a="1"/>
  <c r="O402" i="3" s="1"/>
  <c r="O394" i="3" a="1"/>
  <c r="O394" i="3" s="1"/>
  <c r="O16" i="3" a="1"/>
  <c r="O16" i="3" s="1"/>
  <c r="O8" i="3" a="1"/>
  <c r="O8" i="3" s="1"/>
  <c r="O395" i="3" a="1"/>
  <c r="O395" i="3" s="1"/>
  <c r="O15" i="3" a="1"/>
  <c r="O15" i="3" s="1"/>
  <c r="O6" i="3" a="1"/>
  <c r="O6" i="3" s="1"/>
  <c r="O372" i="3" a="1"/>
  <c r="O372" i="3" s="1"/>
  <c r="O101" i="3" a="1"/>
  <c r="O101" i="3" s="1"/>
  <c r="O80" i="3" a="1"/>
  <c r="O80" i="3" s="1"/>
  <c r="O73" i="3" a="1"/>
  <c r="O73" i="3" s="1"/>
  <c r="O64" i="3" a="1"/>
  <c r="O64" i="3" s="1"/>
  <c r="O60" i="3" a="1"/>
  <c r="O60" i="3" s="1"/>
  <c r="O56" i="3" a="1"/>
  <c r="O56" i="3" s="1"/>
  <c r="O113" i="3" a="1"/>
  <c r="O113" i="3" s="1"/>
  <c r="O104" i="3" a="1"/>
  <c r="O104" i="3" s="1"/>
  <c r="O97" i="3" a="1"/>
  <c r="O97" i="3" s="1"/>
  <c r="O76" i="3" a="1"/>
  <c r="O76" i="3" s="1"/>
  <c r="O68" i="3" a="1"/>
  <c r="O68" i="3" s="1"/>
  <c r="O53" i="3" a="1"/>
  <c r="O53" i="3" s="1"/>
  <c r="O49" i="3" a="1"/>
  <c r="O49" i="3" s="1"/>
  <c r="O45" i="3" a="1"/>
  <c r="O45" i="3" s="1"/>
  <c r="O34" i="3" a="1"/>
  <c r="O34" i="3" s="1"/>
  <c r="O27" i="3" a="1"/>
  <c r="O27" i="3" s="1"/>
  <c r="O38" i="3" a="1"/>
  <c r="O38" i="3" s="1"/>
  <c r="O33" i="3" a="1"/>
  <c r="O33" i="3" s="1"/>
  <c r="O109" i="3" a="1"/>
  <c r="O109" i="3" s="1"/>
  <c r="O85" i="3" a="1"/>
  <c r="O85" i="3" s="1"/>
  <c r="O79" i="3" a="1"/>
  <c r="O79" i="3" s="1"/>
  <c r="O70" i="3" a="1"/>
  <c r="O70" i="3" s="1"/>
  <c r="O63" i="3" a="1"/>
  <c r="O63" i="3" s="1"/>
  <c r="O59" i="3" a="1"/>
  <c r="O59" i="3" s="1"/>
  <c r="O54" i="3" a="1"/>
  <c r="O54" i="3" s="1"/>
  <c r="O112" i="3" a="1"/>
  <c r="O112" i="3" s="1"/>
  <c r="O103" i="3" a="1"/>
  <c r="O103" i="3" s="1"/>
  <c r="O83" i="3" a="1"/>
  <c r="O83" i="3" s="1"/>
  <c r="O74" i="3" a="1"/>
  <c r="O74" i="3" s="1"/>
  <c r="O67" i="3" a="1"/>
  <c r="O67" i="3" s="1"/>
  <c r="O52" i="3" a="1"/>
  <c r="O52" i="3" s="1"/>
  <c r="O48" i="3" a="1"/>
  <c r="O48" i="3" s="1"/>
  <c r="O44" i="3" a="1"/>
  <c r="O44" i="3" s="1"/>
  <c r="O31" i="3" a="1"/>
  <c r="O31" i="3" s="1"/>
  <c r="O41" i="3" a="1"/>
  <c r="O41" i="3" s="1"/>
  <c r="O37" i="3" a="1"/>
  <c r="O37" i="3" s="1"/>
  <c r="O32" i="3" a="1"/>
  <c r="O32" i="3" s="1"/>
  <c r="O111" i="3" a="1"/>
  <c r="O111" i="3" s="1"/>
  <c r="O108" i="3" a="1"/>
  <c r="O108" i="3" s="1"/>
  <c r="O84" i="3" a="1"/>
  <c r="O84" i="3" s="1"/>
  <c r="O78" i="3" a="1"/>
  <c r="O78" i="3" s="1"/>
  <c r="O69" i="3" a="1"/>
  <c r="O69" i="3" s="1"/>
  <c r="O62" i="3" a="1"/>
  <c r="O62" i="3" s="1"/>
  <c r="O58" i="3" a="1"/>
  <c r="O58" i="3" s="1"/>
  <c r="O115" i="3" a="1"/>
  <c r="O115" i="3" s="1"/>
  <c r="O107" i="3" a="1"/>
  <c r="O107" i="3" s="1"/>
  <c r="O99" i="3" a="1"/>
  <c r="O99" i="3" s="1"/>
  <c r="O81" i="3" a="1"/>
  <c r="O81" i="3" s="1"/>
  <c r="O72" i="3" a="1"/>
  <c r="O72" i="3" s="1"/>
  <c r="O65" i="3" a="1"/>
  <c r="O65" i="3" s="1"/>
  <c r="O51" i="3" a="1"/>
  <c r="O51" i="3" s="1"/>
  <c r="O47" i="3" a="1"/>
  <c r="O47" i="3" s="1"/>
  <c r="O43" i="3" a="1"/>
  <c r="O43" i="3" s="1"/>
  <c r="O30" i="3" a="1"/>
  <c r="O30" i="3" s="1"/>
  <c r="O40" i="3" a="1"/>
  <c r="O40" i="3" s="1"/>
  <c r="O36" i="3" a="1"/>
  <c r="O36" i="3" s="1"/>
  <c r="O29" i="3" a="1"/>
  <c r="O29" i="3" s="1"/>
  <c r="O102" i="3" a="1"/>
  <c r="O102" i="3" s="1"/>
  <c r="O82" i="3" a="1"/>
  <c r="O82" i="3" s="1"/>
  <c r="O75" i="3" a="1"/>
  <c r="O75" i="3" s="1"/>
  <c r="O66" i="3" a="1"/>
  <c r="O66" i="3" s="1"/>
  <c r="O61" i="3" a="1"/>
  <c r="O61" i="3" s="1"/>
  <c r="O57" i="3" a="1"/>
  <c r="O57" i="3" s="1"/>
  <c r="O114" i="3" a="1"/>
  <c r="O114" i="3" s="1"/>
  <c r="O105" i="3" a="1"/>
  <c r="O105" i="3" s="1"/>
  <c r="O98" i="3" a="1"/>
  <c r="O98" i="3" s="1"/>
  <c r="O77" i="3" a="1"/>
  <c r="O77" i="3" s="1"/>
  <c r="O71" i="3" a="1"/>
  <c r="O71" i="3" s="1"/>
  <c r="O55" i="3" a="1"/>
  <c r="O55" i="3" s="1"/>
  <c r="O50" i="3" a="1"/>
  <c r="O50" i="3" s="1"/>
  <c r="O46" i="3" a="1"/>
  <c r="O46" i="3" s="1"/>
  <c r="O42" i="3" a="1"/>
  <c r="O42" i="3" s="1"/>
  <c r="O28" i="3" a="1"/>
  <c r="O28" i="3" s="1"/>
  <c r="O39" i="3" a="1"/>
  <c r="O39" i="3" s="1"/>
  <c r="O35" i="3" a="1"/>
  <c r="O35" i="3" s="1"/>
  <c r="O26" i="3" a="1"/>
  <c r="O26" i="3" s="1"/>
  <c r="O25" i="3" a="1"/>
  <c r="O25" i="3" s="1"/>
  <c r="O369" i="3" a="1"/>
  <c r="O369" i="3" s="1"/>
  <c r="O362" i="3" a="1"/>
  <c r="O362" i="3" s="1"/>
  <c r="O368" i="3" a="1"/>
  <c r="O368" i="3" s="1"/>
  <c r="O373" i="3" a="1"/>
  <c r="O373" i="3" s="1"/>
  <c r="O371" i="3" a="1"/>
  <c r="O371" i="3" s="1"/>
  <c r="O367" i="3" a="1"/>
  <c r="O367" i="3" s="1"/>
  <c r="O366" i="3" a="1"/>
  <c r="O366" i="3" s="1"/>
  <c r="O365" i="3" a="1"/>
  <c r="O365" i="3" s="1"/>
  <c r="O364" i="3" a="1"/>
  <c r="O364" i="3" s="1"/>
  <c r="O363" i="3" a="1"/>
  <c r="O363" i="3" s="1"/>
  <c r="O370" i="3" a="1"/>
  <c r="O370" i="3" s="1"/>
  <c r="O374" i="3" a="1"/>
  <c r="O374" i="3" s="1"/>
  <c r="O145" i="3" a="1"/>
  <c r="O145" i="3" s="1"/>
  <c r="O148" i="3" a="1"/>
  <c r="O148" i="3" s="1"/>
  <c r="O146" i="3" a="1"/>
  <c r="O146" i="3" s="1"/>
  <c r="O150" i="3" a="1"/>
  <c r="O150" i="3" s="1"/>
  <c r="O152" i="3" a="1"/>
  <c r="O152" i="3" s="1"/>
  <c r="O144" i="3" a="1"/>
  <c r="O144" i="3" s="1"/>
  <c r="O151" i="3" a="1"/>
  <c r="O151" i="3" s="1"/>
  <c r="O153" i="3" a="1"/>
  <c r="O153" i="3" s="1"/>
  <c r="O149" i="3" a="1"/>
  <c r="O149" i="3" s="1"/>
  <c r="O147" i="3" a="1"/>
  <c r="O147" i="3" s="1"/>
  <c r="K391" i="3" a="1"/>
  <c r="K391" i="3" s="1"/>
  <c r="K392" i="3" a="1"/>
  <c r="K392" i="3" s="1"/>
  <c r="K390" i="3" a="1"/>
  <c r="K390" i="3" s="1"/>
  <c r="K393" i="3" a="1"/>
  <c r="K393" i="3" s="1"/>
  <c r="K395" i="3" a="1"/>
  <c r="K395" i="3" s="1"/>
  <c r="K394" i="3" a="1"/>
  <c r="K394" i="3" s="1"/>
  <c r="K397" i="3" a="1"/>
  <c r="K397" i="3" s="1"/>
  <c r="K396" i="3" a="1"/>
  <c r="K396" i="3" s="1"/>
  <c r="K398" i="3" a="1"/>
  <c r="K398" i="3" s="1"/>
  <c r="K400" i="3" a="1"/>
  <c r="K400" i="3" s="1"/>
  <c r="K399" i="3" a="1"/>
  <c r="K399" i="3" s="1"/>
  <c r="K401" i="3" a="1"/>
  <c r="K401" i="3" s="1"/>
  <c r="BV51" i="4"/>
  <c r="BT60" i="4"/>
  <c r="K56" i="3" a="1"/>
  <c r="K56" i="3" s="1"/>
  <c r="K41" i="3" a="1"/>
  <c r="K41" i="3" s="1"/>
  <c r="L19" i="3"/>
  <c r="L7" i="3"/>
  <c r="AH362" i="3"/>
  <c r="AH375" i="3" s="1"/>
  <c r="J375" i="3"/>
  <c r="J19" i="3"/>
  <c r="J21" i="3" s="1"/>
  <c r="J154" i="3"/>
  <c r="J156" i="3" s="1"/>
  <c r="K155" i="3" a="1"/>
  <c r="K155" i="3" s="1"/>
  <c r="K147" i="3" a="1"/>
  <c r="K147" i="3" s="1"/>
  <c r="AS252" i="2"/>
  <c r="M399" i="3" s="1" a="1"/>
  <c r="M399" i="3" s="1"/>
  <c r="CE148" i="2"/>
  <c r="CE69" i="2"/>
  <c r="CC161" i="2"/>
  <c r="CB161" i="2"/>
  <c r="CD161" i="2"/>
  <c r="BZ248" i="2"/>
  <c r="CE161" i="2"/>
  <c r="CC243" i="2"/>
  <c r="CB243" i="2"/>
  <c r="CD243" i="2"/>
  <c r="AM201" i="2"/>
  <c r="CC187" i="2"/>
  <c r="CB187" i="2"/>
  <c r="CD187" i="2"/>
  <c r="CE187" i="2"/>
  <c r="CB148" i="2"/>
  <c r="CC148" i="2"/>
  <c r="CD148" i="2"/>
  <c r="CE24" i="2"/>
  <c r="CC24" i="2"/>
  <c r="CD166" i="2"/>
  <c r="CE79" i="2"/>
  <c r="CC79" i="2"/>
  <c r="AM101" i="2"/>
  <c r="CE101" i="2" s="1"/>
  <c r="CB86" i="2"/>
  <c r="CC86" i="2"/>
  <c r="CD86" i="2"/>
  <c r="CC245" i="2"/>
  <c r="CB245" i="2"/>
  <c r="CD245" i="2"/>
  <c r="CE245" i="2"/>
  <c r="CC205" i="2"/>
  <c r="CB205" i="2"/>
  <c r="CD205" i="2"/>
  <c r="CB69" i="2"/>
  <c r="CC69" i="2"/>
  <c r="CD69" i="2"/>
  <c r="CE205" i="2"/>
  <c r="AK248" i="2"/>
  <c r="AK252" i="2" s="1"/>
  <c r="K152" i="3" a="1"/>
  <c r="K152" i="3" s="1"/>
  <c r="AM246" i="2"/>
  <c r="AI17" i="2"/>
  <c r="AI148" i="2"/>
  <c r="DS135" i="2"/>
  <c r="DU79" i="2"/>
  <c r="DU135" i="2"/>
  <c r="L87" i="3"/>
  <c r="K105" i="3" a="1"/>
  <c r="K105" i="3" s="1"/>
  <c r="K373" i="3" a="1"/>
  <c r="K373" i="3" s="1"/>
  <c r="K368" i="3" a="1"/>
  <c r="K368" i="3" s="1"/>
  <c r="K365" i="3" a="1"/>
  <c r="K365" i="3" s="1"/>
  <c r="K362" i="3" a="1"/>
  <c r="K362" i="3" s="1"/>
  <c r="K374" i="3" a="1"/>
  <c r="K374" i="3" s="1"/>
  <c r="K369" i="3" a="1"/>
  <c r="K369" i="3" s="1"/>
  <c r="AJ72" i="3" a="1"/>
  <c r="AJ72" i="3" s="1"/>
  <c r="AJ367" i="3" a="1"/>
  <c r="AJ367" i="3" s="1"/>
  <c r="AJ363" i="3" a="1"/>
  <c r="AJ363" i="3" s="1"/>
  <c r="AJ366" i="3" a="1"/>
  <c r="AJ366" i="3" s="1"/>
  <c r="AJ370" i="3" a="1"/>
  <c r="AJ370" i="3" s="1"/>
  <c r="AJ365" i="3" a="1"/>
  <c r="AJ365" i="3" s="1"/>
  <c r="AJ372" i="3" a="1"/>
  <c r="AJ372" i="3" s="1"/>
  <c r="AJ371" i="3" a="1"/>
  <c r="AJ371" i="3" s="1"/>
  <c r="AJ369" i="3" a="1"/>
  <c r="AJ369" i="3" s="1"/>
  <c r="AJ374" i="3" a="1"/>
  <c r="AJ374" i="3" s="1"/>
  <c r="AJ362" i="3" a="1"/>
  <c r="AJ362" i="3" s="1"/>
  <c r="AJ373" i="3" a="1"/>
  <c r="AJ373" i="3" s="1"/>
  <c r="AJ368" i="3" a="1"/>
  <c r="AJ368" i="3" s="1"/>
  <c r="AJ364" i="3" a="1"/>
  <c r="AJ364" i="3" s="1"/>
  <c r="K366" i="3" a="1"/>
  <c r="K366" i="3" s="1"/>
  <c r="K363" i="3" a="1"/>
  <c r="K363" i="3" s="1"/>
  <c r="K370" i="3" a="1"/>
  <c r="K370" i="3" s="1"/>
  <c r="K372" i="3" a="1"/>
  <c r="K372" i="3" s="1"/>
  <c r="K367" i="3" a="1"/>
  <c r="K367" i="3" s="1"/>
  <c r="K364" i="3" a="1"/>
  <c r="K364" i="3" s="1"/>
  <c r="K371" i="3" a="1"/>
  <c r="K371" i="3" s="1"/>
  <c r="BV9" i="4"/>
  <c r="AP162" i="3" a="1"/>
  <c r="AP162" i="3" s="1"/>
  <c r="DT143" i="2"/>
  <c r="BV98" i="4"/>
  <c r="DT188" i="2"/>
  <c r="AP169" i="3" a="1"/>
  <c r="AP169" i="3" s="1"/>
  <c r="DU17" i="2"/>
  <c r="DU161" i="2"/>
  <c r="CS161" i="2"/>
  <c r="DT88" i="2"/>
  <c r="CG252" i="2"/>
  <c r="AO98" i="3" s="1" a="1"/>
  <c r="AO98" i="3" s="1"/>
  <c r="DV207" i="2"/>
  <c r="DV43" i="2"/>
  <c r="DV21" i="2"/>
  <c r="K66" i="3" a="1"/>
  <c r="K66" i="3" s="1"/>
  <c r="DV132" i="2"/>
  <c r="BT30" i="4"/>
  <c r="K64" i="3" a="1"/>
  <c r="K64" i="3" s="1"/>
  <c r="AJ66" i="3" a="1"/>
  <c r="AJ66" i="3" s="1"/>
  <c r="K114" i="3" a="1"/>
  <c r="K114" i="3" s="1"/>
  <c r="AJ64" i="3" a="1"/>
  <c r="AJ64" i="3" s="1"/>
  <c r="K72" i="3" a="1"/>
  <c r="K72" i="3" s="1"/>
  <c r="AJ151" i="3" a="1"/>
  <c r="AJ151" i="3" s="1"/>
  <c r="AJ114" i="3" a="1"/>
  <c r="AJ114" i="3" s="1"/>
  <c r="AJ104" i="3" a="1"/>
  <c r="AJ104" i="3" s="1"/>
  <c r="AJ115" i="3" a="1"/>
  <c r="AJ115" i="3" s="1"/>
  <c r="AJ107" i="3" a="1"/>
  <c r="AJ107" i="3" s="1"/>
  <c r="AJ102" i="3" a="1"/>
  <c r="AJ102" i="3" s="1"/>
  <c r="AJ113" i="3" a="1"/>
  <c r="AJ113" i="3" s="1"/>
  <c r="AJ103" i="3" a="1"/>
  <c r="AJ103" i="3" s="1"/>
  <c r="AP104" i="3" a="1"/>
  <c r="AP104" i="3" s="1"/>
  <c r="AP97" i="3" a="1"/>
  <c r="AP97" i="3" s="1"/>
  <c r="K102" i="3" a="1"/>
  <c r="K102" i="3" s="1"/>
  <c r="K107" i="3" a="1"/>
  <c r="K107" i="3" s="1"/>
  <c r="AJ98" i="3" a="1"/>
  <c r="AJ98" i="3" s="1"/>
  <c r="AJ97" i="3" a="1"/>
  <c r="AJ97" i="3" s="1"/>
  <c r="K115" i="3" a="1"/>
  <c r="K115" i="3" s="1"/>
  <c r="AJ112" i="3" a="1"/>
  <c r="AJ112" i="3" s="1"/>
  <c r="AJ111" i="3" a="1"/>
  <c r="AJ111" i="3" s="1"/>
  <c r="AO104" i="3" a="1"/>
  <c r="AO104" i="3" s="1"/>
  <c r="K98" i="3" a="1"/>
  <c r="K98" i="3" s="1"/>
  <c r="K109" i="3" a="1"/>
  <c r="K109" i="3" s="1"/>
  <c r="K99" i="3" a="1"/>
  <c r="K99" i="3" s="1"/>
  <c r="K111" i="3" a="1"/>
  <c r="K111" i="3" s="1"/>
  <c r="K101" i="3" a="1"/>
  <c r="K101" i="3" s="1"/>
  <c r="K112" i="3" a="1"/>
  <c r="K112" i="3" s="1"/>
  <c r="K113" i="3" a="1"/>
  <c r="K113" i="3" s="1"/>
  <c r="K108" i="3" a="1"/>
  <c r="K108" i="3" s="1"/>
  <c r="K97" i="3" a="1"/>
  <c r="K97" i="3" s="1"/>
  <c r="AJ109" i="3" a="1"/>
  <c r="AJ109" i="3" s="1"/>
  <c r="AJ108" i="3" a="1"/>
  <c r="AJ108" i="3" s="1"/>
  <c r="K104" i="3" a="1"/>
  <c r="K104" i="3" s="1"/>
  <c r="K103" i="3" a="1"/>
  <c r="K103" i="3" s="1"/>
  <c r="AJ101" i="3" a="1"/>
  <c r="AJ101" i="3" s="1"/>
  <c r="AJ99" i="3" a="1"/>
  <c r="AJ99" i="3" s="1"/>
  <c r="J110" i="3"/>
  <c r="J96" i="3"/>
  <c r="J106" i="3"/>
  <c r="AJ8" i="3" a="1"/>
  <c r="AJ8" i="3" s="1"/>
  <c r="K26" i="3" a="1"/>
  <c r="K26" i="3" s="1"/>
  <c r="AJ81" i="3" a="1"/>
  <c r="AJ81" i="3" s="1"/>
  <c r="AJ70" i="3" a="1"/>
  <c r="AJ70" i="3" s="1"/>
  <c r="AJ47" i="3" a="1"/>
  <c r="AJ47" i="3" s="1"/>
  <c r="AJ33" i="3" a="1"/>
  <c r="AJ33" i="3" s="1"/>
  <c r="AJ74" i="3" a="1"/>
  <c r="AJ74" i="3" s="1"/>
  <c r="AJ62" i="3" a="1"/>
  <c r="AJ62" i="3" s="1"/>
  <c r="AJ52" i="3" a="1"/>
  <c r="AJ52" i="3" s="1"/>
  <c r="AJ36" i="3" a="1"/>
  <c r="AJ36" i="3" s="1"/>
  <c r="AJ27" i="3" a="1"/>
  <c r="AJ27" i="3" s="1"/>
  <c r="AJ75" i="3" a="1"/>
  <c r="AJ75" i="3" s="1"/>
  <c r="AJ63" i="3" a="1"/>
  <c r="AJ63" i="3" s="1"/>
  <c r="AJ53" i="3" a="1"/>
  <c r="AJ53" i="3" s="1"/>
  <c r="AJ40" i="3" a="1"/>
  <c r="AJ40" i="3" s="1"/>
  <c r="AJ28" i="3" a="1"/>
  <c r="AJ28" i="3" s="1"/>
  <c r="K78" i="3" a="1"/>
  <c r="K78" i="3" s="1"/>
  <c r="K55" i="3" a="1"/>
  <c r="K55" i="3" s="1"/>
  <c r="K39" i="3" a="1"/>
  <c r="K39" i="3" s="1"/>
  <c r="K85" i="3" a="1"/>
  <c r="K85" i="3" s="1"/>
  <c r="K69" i="3" a="1"/>
  <c r="K69" i="3" s="1"/>
  <c r="K57" i="3" a="1"/>
  <c r="K57" i="3" s="1"/>
  <c r="K43" i="3" a="1"/>
  <c r="K43" i="3" s="1"/>
  <c r="K32" i="3" a="1"/>
  <c r="K32" i="3" s="1"/>
  <c r="K76" i="3" a="1"/>
  <c r="K76" i="3" s="1"/>
  <c r="K71" i="3" a="1"/>
  <c r="K71" i="3" s="1"/>
  <c r="K58" i="3" a="1"/>
  <c r="K58" i="3" s="1"/>
  <c r="K45" i="3" a="1"/>
  <c r="K45" i="3" s="1"/>
  <c r="K34" i="3" a="1"/>
  <c r="K34" i="3" s="1"/>
  <c r="AJ80" i="3" a="1"/>
  <c r="AJ80" i="3" s="1"/>
  <c r="AJ73" i="3" a="1"/>
  <c r="AJ73" i="3" s="1"/>
  <c r="AJ51" i="3" a="1"/>
  <c r="AJ51" i="3" s="1"/>
  <c r="AJ37" i="3" a="1"/>
  <c r="AJ37" i="3" s="1"/>
  <c r="AJ83" i="3" a="1"/>
  <c r="AJ83" i="3" s="1"/>
  <c r="AJ67" i="3" a="1"/>
  <c r="AJ67" i="3" s="1"/>
  <c r="AJ54" i="3" a="1"/>
  <c r="AJ54" i="3" s="1"/>
  <c r="AJ46" i="3" a="1"/>
  <c r="AJ46" i="3" s="1"/>
  <c r="AJ29" i="3" a="1"/>
  <c r="AJ29" i="3" s="1"/>
  <c r="AJ84" i="3" a="1"/>
  <c r="AJ84" i="3" s="1"/>
  <c r="AJ68" i="3" a="1"/>
  <c r="AJ68" i="3" s="1"/>
  <c r="AJ48" i="3" a="1"/>
  <c r="AJ48" i="3" s="1"/>
  <c r="AJ42" i="3" a="1"/>
  <c r="AJ42" i="3" s="1"/>
  <c r="AJ31" i="3" a="1"/>
  <c r="AJ31" i="3" s="1"/>
  <c r="K80" i="3" a="1"/>
  <c r="K80" i="3" s="1"/>
  <c r="K73" i="3" a="1"/>
  <c r="K73" i="3" s="1"/>
  <c r="K51" i="3" a="1"/>
  <c r="K51" i="3" s="1"/>
  <c r="K37" i="3" a="1"/>
  <c r="K37" i="3" s="1"/>
  <c r="K83" i="3" a="1"/>
  <c r="K83" i="3" s="1"/>
  <c r="K67" i="3" a="1"/>
  <c r="K67" i="3" s="1"/>
  <c r="K54" i="3" a="1"/>
  <c r="K54" i="3" s="1"/>
  <c r="K46" i="3" a="1"/>
  <c r="K46" i="3" s="1"/>
  <c r="K29" i="3" a="1"/>
  <c r="K29" i="3" s="1"/>
  <c r="K84" i="3" a="1"/>
  <c r="K84" i="3" s="1"/>
  <c r="K68" i="3" a="1"/>
  <c r="K68" i="3" s="1"/>
  <c r="K48" i="3" a="1"/>
  <c r="K48" i="3" s="1"/>
  <c r="K42" i="3" a="1"/>
  <c r="K42" i="3" s="1"/>
  <c r="K31" i="3" a="1"/>
  <c r="K31" i="3" s="1"/>
  <c r="K79" i="3" a="1"/>
  <c r="K79" i="3" s="1"/>
  <c r="DV144" i="2"/>
  <c r="AJ11" i="3" a="1"/>
  <c r="AJ11" i="3" s="1"/>
  <c r="AJ10" i="3" a="1"/>
  <c r="AJ10" i="3" s="1"/>
  <c r="AJ78" i="3" a="1"/>
  <c r="AJ78" i="3" s="1"/>
  <c r="AJ55" i="3" a="1"/>
  <c r="AJ55" i="3" s="1"/>
  <c r="AJ39" i="3" a="1"/>
  <c r="AJ39" i="3" s="1"/>
  <c r="AJ85" i="3" a="1"/>
  <c r="AJ85" i="3" s="1"/>
  <c r="AJ69" i="3" a="1"/>
  <c r="AJ69" i="3" s="1"/>
  <c r="AJ57" i="3" a="1"/>
  <c r="AJ57" i="3" s="1"/>
  <c r="AJ43" i="3" a="1"/>
  <c r="AJ43" i="3" s="1"/>
  <c r="AJ32" i="3" a="1"/>
  <c r="AJ32" i="3" s="1"/>
  <c r="AJ76" i="3" a="1"/>
  <c r="AJ76" i="3" s="1"/>
  <c r="AJ71" i="3" a="1"/>
  <c r="AJ71" i="3" s="1"/>
  <c r="AJ58" i="3" a="1"/>
  <c r="AJ58" i="3" s="1"/>
  <c r="AJ45" i="3" a="1"/>
  <c r="AJ45" i="3" s="1"/>
  <c r="AJ34" i="3" a="1"/>
  <c r="AJ34" i="3" s="1"/>
  <c r="K81" i="3" a="1"/>
  <c r="K81" i="3" s="1"/>
  <c r="K70" i="3" a="1"/>
  <c r="K70" i="3" s="1"/>
  <c r="K47" i="3" a="1"/>
  <c r="K47" i="3" s="1"/>
  <c r="K33" i="3" a="1"/>
  <c r="K33" i="3" s="1"/>
  <c r="K74" i="3" a="1"/>
  <c r="K74" i="3" s="1"/>
  <c r="K62" i="3" a="1"/>
  <c r="K62" i="3" s="1"/>
  <c r="K52" i="3" a="1"/>
  <c r="K52" i="3" s="1"/>
  <c r="K36" i="3" a="1"/>
  <c r="K36" i="3" s="1"/>
  <c r="K27" i="3" a="1"/>
  <c r="K27" i="3" s="1"/>
  <c r="K75" i="3" a="1"/>
  <c r="K75" i="3" s="1"/>
  <c r="K63" i="3" a="1"/>
  <c r="K63" i="3" s="1"/>
  <c r="K53" i="3" a="1"/>
  <c r="K53" i="3" s="1"/>
  <c r="K40" i="3" a="1"/>
  <c r="K40" i="3" s="1"/>
  <c r="K28" i="3" a="1"/>
  <c r="K28" i="3" s="1"/>
  <c r="J87" i="3"/>
  <c r="AJ82" i="3" a="1"/>
  <c r="AJ82" i="3" s="1"/>
  <c r="AJ59" i="3" a="1"/>
  <c r="AJ59" i="3" s="1"/>
  <c r="AJ44" i="3" a="1"/>
  <c r="AJ44" i="3" s="1"/>
  <c r="AJ30" i="3" a="1"/>
  <c r="AJ30" i="3" s="1"/>
  <c r="AJ65" i="3" a="1"/>
  <c r="AJ65" i="3" s="1"/>
  <c r="AJ60" i="3" a="1"/>
  <c r="AJ60" i="3" s="1"/>
  <c r="AJ49" i="3" a="1"/>
  <c r="AJ49" i="3" s="1"/>
  <c r="AJ38" i="3" a="1"/>
  <c r="AJ38" i="3" s="1"/>
  <c r="AJ25" i="3" a="1"/>
  <c r="AJ25" i="3" s="1"/>
  <c r="AJ77" i="3" a="1"/>
  <c r="AJ77" i="3" s="1"/>
  <c r="AJ61" i="3" a="1"/>
  <c r="AJ61" i="3" s="1"/>
  <c r="AJ50" i="3" a="1"/>
  <c r="AJ50" i="3" s="1"/>
  <c r="AJ35" i="3" a="1"/>
  <c r="AJ35" i="3" s="1"/>
  <c r="AJ26" i="3" a="1"/>
  <c r="AJ26" i="3" s="1"/>
  <c r="K82" i="3" a="1"/>
  <c r="K82" i="3" s="1"/>
  <c r="K59" i="3" a="1"/>
  <c r="K59" i="3" s="1"/>
  <c r="K44" i="3" a="1"/>
  <c r="K44" i="3" s="1"/>
  <c r="K30" i="3" a="1"/>
  <c r="K30" i="3" s="1"/>
  <c r="K65" i="3" a="1"/>
  <c r="K65" i="3" s="1"/>
  <c r="K60" i="3" a="1"/>
  <c r="K60" i="3" s="1"/>
  <c r="K49" i="3" a="1"/>
  <c r="K49" i="3" s="1"/>
  <c r="K38" i="3" a="1"/>
  <c r="K38" i="3" s="1"/>
  <c r="K25" i="3" a="1"/>
  <c r="K25" i="3" s="1"/>
  <c r="K77" i="3" a="1"/>
  <c r="K77" i="3" s="1"/>
  <c r="K61" i="3" a="1"/>
  <c r="K61" i="3" s="1"/>
  <c r="K50" i="3" a="1"/>
  <c r="K50" i="3" s="1"/>
  <c r="K35" i="3" a="1"/>
  <c r="K35" i="3" s="1"/>
  <c r="AJ79" i="3" a="1"/>
  <c r="AJ79" i="3" s="1"/>
  <c r="AJ147" i="3" a="1"/>
  <c r="AJ147" i="3" s="1"/>
  <c r="AJ148" i="3" a="1"/>
  <c r="AJ148" i="3" s="1"/>
  <c r="AJ152" i="3" a="1"/>
  <c r="AJ152" i="3" s="1"/>
  <c r="AJ150" i="3" a="1"/>
  <c r="AJ150" i="3" s="1"/>
  <c r="CH252" i="2"/>
  <c r="AP170" i="3" s="1" a="1"/>
  <c r="AP170" i="3" s="1"/>
  <c r="AJ149" i="3" a="1"/>
  <c r="AJ149" i="3" s="1"/>
  <c r="BV65" i="4"/>
  <c r="DT156" i="2"/>
  <c r="DU246" i="2"/>
  <c r="DT187" i="2"/>
  <c r="DV85" i="2"/>
  <c r="AJ18" i="3" a="1"/>
  <c r="AJ18" i="3" s="1"/>
  <c r="AJ15" i="3" a="1"/>
  <c r="AJ15" i="3" s="1"/>
  <c r="AJ5" i="3" a="1"/>
  <c r="AJ5" i="3" s="1"/>
  <c r="AJ7" i="3" s="1"/>
  <c r="AJ146" i="3" a="1"/>
  <c r="AJ146" i="3" s="1"/>
  <c r="BV43" i="4"/>
  <c r="BT43" i="4"/>
  <c r="DV94" i="2"/>
  <c r="DT47" i="2"/>
  <c r="DV47" i="2"/>
  <c r="DV98" i="2"/>
  <c r="DT98" i="2"/>
  <c r="DV135" i="2"/>
  <c r="DT135" i="2"/>
  <c r="BV102" i="4"/>
  <c r="BT102" i="4"/>
  <c r="BV94" i="4"/>
  <c r="BV63" i="4"/>
  <c r="BT63" i="4"/>
  <c r="BV36" i="4"/>
  <c r="BT36" i="4"/>
  <c r="DT54" i="2"/>
  <c r="BV31" i="4"/>
  <c r="BT31" i="4"/>
  <c r="BV41" i="4"/>
  <c r="AJ16" i="3" a="1"/>
  <c r="AJ16" i="3" s="1"/>
  <c r="AJ144" i="3" a="1"/>
  <c r="AJ144" i="3" s="1"/>
  <c r="AJ145" i="3" a="1"/>
  <c r="AJ145" i="3" s="1"/>
  <c r="AJ153" i="3" a="1"/>
  <c r="AJ153" i="3" s="1"/>
  <c r="BV52" i="4"/>
  <c r="BT52" i="4"/>
  <c r="K146" i="3" a="1"/>
  <c r="K146" i="3" s="1"/>
  <c r="K145" i="3" a="1"/>
  <c r="K145" i="3" s="1"/>
  <c r="K149" i="3" a="1"/>
  <c r="K149" i="3" s="1"/>
  <c r="K11" i="3" a="1"/>
  <c r="K11" i="3" s="1"/>
  <c r="K148" i="3" a="1"/>
  <c r="K148" i="3" s="1"/>
  <c r="K10" i="3" a="1"/>
  <c r="K10" i="3" s="1"/>
  <c r="K18" i="3" a="1"/>
  <c r="K18" i="3" s="1"/>
  <c r="K15" i="3" a="1"/>
  <c r="K15" i="3" s="1"/>
  <c r="K150" i="3" a="1"/>
  <c r="K150" i="3" s="1"/>
  <c r="K153" i="3" a="1"/>
  <c r="K153" i="3" s="1"/>
  <c r="AJ14" i="3" a="1"/>
  <c r="AJ14" i="3" s="1"/>
  <c r="K14" i="3" a="1"/>
  <c r="K14" i="3" s="1"/>
  <c r="K8" i="3" a="1"/>
  <c r="K8" i="3" s="1"/>
  <c r="K151" i="3" a="1"/>
  <c r="K151" i="3" s="1"/>
  <c r="K16" i="3" a="1"/>
  <c r="K16" i="3" s="1"/>
  <c r="K5" i="3" a="1"/>
  <c r="K5" i="3" s="1"/>
  <c r="K7" i="3" s="1"/>
  <c r="K144" i="3" a="1"/>
  <c r="K144" i="3" s="1"/>
  <c r="AH11" i="3" a="1"/>
  <c r="AH11" i="3" s="1"/>
  <c r="DJ252" i="2"/>
  <c r="DT42" i="2"/>
  <c r="CS24" i="2"/>
  <c r="DT45" i="2"/>
  <c r="DT63" i="2"/>
  <c r="DV36" i="2"/>
  <c r="DU201" i="2"/>
  <c r="DL252" i="2"/>
  <c r="DV79" i="2"/>
  <c r="DN252" i="2"/>
  <c r="DD252" i="2"/>
  <c r="CL252" i="2"/>
  <c r="AO169" i="3" a="1"/>
  <c r="AO169" i="3" s="1"/>
  <c r="CN252" i="2"/>
  <c r="CQ252" i="2"/>
  <c r="DT51" i="2"/>
  <c r="DT62" i="2"/>
  <c r="CR252" i="2"/>
  <c r="DH252" i="2"/>
  <c r="CS201" i="2"/>
  <c r="DV39" i="2"/>
  <c r="BV28" i="4"/>
  <c r="BV19" i="4"/>
  <c r="DT57" i="2"/>
  <c r="DT49" i="2"/>
  <c r="AC252" i="2"/>
  <c r="DT66" i="2"/>
  <c r="DV31" i="2"/>
  <c r="DT28" i="2"/>
  <c r="DV58" i="2"/>
  <c r="DF252" i="2"/>
  <c r="DQ148" i="2"/>
  <c r="DT134" i="2"/>
  <c r="BT76" i="4"/>
  <c r="BV76" i="4"/>
  <c r="DT95" i="2"/>
  <c r="DB252" i="2"/>
  <c r="BT75" i="4"/>
  <c r="CS69" i="2"/>
  <c r="DT220" i="2"/>
  <c r="CV252" i="2"/>
  <c r="BV69" i="4"/>
  <c r="BT69" i="4"/>
  <c r="DV52" i="2"/>
  <c r="DT52" i="2"/>
  <c r="DS161" i="2"/>
  <c r="BV104" i="4"/>
  <c r="BT104" i="4"/>
  <c r="DT41" i="2"/>
  <c r="DV41" i="2"/>
  <c r="AH252" i="2"/>
  <c r="E27" i="3" s="1" a="1"/>
  <c r="E27" i="3" s="1"/>
  <c r="EA34" i="2"/>
  <c r="DV34" i="2"/>
  <c r="DS34" i="2"/>
  <c r="DS69" i="2" s="1"/>
  <c r="DT34" i="2"/>
  <c r="DU34" i="2"/>
  <c r="DV155" i="2"/>
  <c r="DT155" i="2"/>
  <c r="DU148" i="2"/>
  <c r="DU107" i="2"/>
  <c r="DT107" i="2"/>
  <c r="DS107" i="2"/>
  <c r="DV59" i="2"/>
  <c r="DT59" i="2"/>
  <c r="BV49" i="4"/>
  <c r="BT49" i="4"/>
  <c r="BV80" i="4"/>
  <c r="BT80" i="4"/>
  <c r="DT38" i="2"/>
  <c r="DV38" i="2"/>
  <c r="DV181" i="2"/>
  <c r="DT181" i="2"/>
  <c r="BV23" i="4"/>
  <c r="BT23" i="4"/>
  <c r="AS122" i="4"/>
  <c r="BV86" i="4"/>
  <c r="BT86" i="4"/>
  <c r="CS101" i="2"/>
  <c r="DV212" i="2"/>
  <c r="DT212" i="2"/>
  <c r="DT123" i="2"/>
  <c r="DV123" i="2"/>
  <c r="DT32" i="2"/>
  <c r="DV32" i="2"/>
  <c r="DT55" i="2"/>
  <c r="DV55" i="2"/>
  <c r="DV92" i="2"/>
  <c r="DT92" i="2"/>
  <c r="DQ246" i="2"/>
  <c r="DV246" i="2" s="1"/>
  <c r="DV205" i="2"/>
  <c r="DT205" i="2"/>
  <c r="DT60" i="2"/>
  <c r="DV60" i="2"/>
  <c r="DT222" i="2"/>
  <c r="BS122" i="4"/>
  <c r="DS201" i="2"/>
  <c r="DQ161" i="2"/>
  <c r="DV161" i="2" s="1"/>
  <c r="BV15" i="4"/>
  <c r="BT15" i="4"/>
  <c r="BV91" i="4"/>
  <c r="BT91" i="4"/>
  <c r="DT20" i="2"/>
  <c r="DT24" i="2" s="1"/>
  <c r="DQ24" i="2"/>
  <c r="DV20" i="2"/>
  <c r="BV81" i="4"/>
  <c r="BT81" i="4"/>
  <c r="AF122" i="4"/>
  <c r="BV59" i="4"/>
  <c r="BT59" i="4"/>
  <c r="DT40" i="2"/>
  <c r="DV40" i="2"/>
  <c r="DV107" i="2"/>
  <c r="CS148" i="2"/>
  <c r="DT221" i="2"/>
  <c r="DV221" i="2"/>
  <c r="DU24" i="2"/>
  <c r="DV86" i="2"/>
  <c r="AE101" i="2"/>
  <c r="DT243" i="2"/>
  <c r="DS243" i="2"/>
  <c r="DS246" i="2" s="1"/>
  <c r="AI243" i="2"/>
  <c r="AI246" i="2" s="1"/>
  <c r="DQ69" i="2"/>
  <c r="DQ201" i="2"/>
  <c r="DV201" i="2" s="1"/>
  <c r="BV29" i="4"/>
  <c r="BT29" i="4"/>
  <c r="BV14" i="4"/>
  <c r="BQ122" i="4"/>
  <c r="BV122" i="4" s="1"/>
  <c r="CY252" i="2"/>
  <c r="BV53" i="4"/>
  <c r="BT53" i="4"/>
  <c r="DV145" i="2"/>
  <c r="DT145" i="2"/>
  <c r="DV64" i="2"/>
  <c r="DT64" i="2"/>
  <c r="DT140" i="2"/>
  <c r="DV140" i="2"/>
  <c r="CS246" i="2"/>
  <c r="DS24" i="2"/>
  <c r="DQ101" i="2"/>
  <c r="DP252" i="2"/>
  <c r="Q110" i="3" l="1"/>
  <c r="Q106" i="3"/>
  <c r="Q87" i="3"/>
  <c r="Q100" i="3"/>
  <c r="Q96" i="3"/>
  <c r="O403" i="3"/>
  <c r="O106" i="3"/>
  <c r="O87" i="3"/>
  <c r="O96" i="3"/>
  <c r="O100" i="3"/>
  <c r="O110" i="3"/>
  <c r="O375" i="3"/>
  <c r="O154" i="3"/>
  <c r="O156" i="3" s="1"/>
  <c r="BZ252" i="2"/>
  <c r="AI13" i="3" s="1" a="1"/>
  <c r="AI13" i="3" s="1"/>
  <c r="M398" i="3" a="1"/>
  <c r="M398" i="3" s="1"/>
  <c r="AI398" i="3" s="1"/>
  <c r="M401" i="3" a="1"/>
  <c r="M401" i="3" s="1"/>
  <c r="AI401" i="3" s="1"/>
  <c r="M400" i="3" a="1"/>
  <c r="M400" i="3" s="1"/>
  <c r="AI400" i="3" s="1"/>
  <c r="H395" i="3" a="1"/>
  <c r="H395" i="3" s="1"/>
  <c r="M402" i="3" a="1"/>
  <c r="M402" i="3" s="1"/>
  <c r="AI402" i="3" s="1"/>
  <c r="M391" i="3" a="1"/>
  <c r="M391" i="3" s="1"/>
  <c r="AI391" i="3" s="1"/>
  <c r="M390" i="3" a="1"/>
  <c r="M390" i="3" s="1"/>
  <c r="AI390" i="3" s="1"/>
  <c r="M393" i="3" a="1"/>
  <c r="M393" i="3" s="1"/>
  <c r="AI393" i="3" s="1"/>
  <c r="M392" i="3" a="1"/>
  <c r="M392" i="3" s="1"/>
  <c r="M395" i="3" a="1"/>
  <c r="M395" i="3" s="1"/>
  <c r="AI395" i="3" s="1"/>
  <c r="M394" i="3" a="1"/>
  <c r="M394" i="3" s="1"/>
  <c r="AI394" i="3" s="1"/>
  <c r="M397" i="3" a="1"/>
  <c r="M397" i="3" s="1"/>
  <c r="AI397" i="3" s="1"/>
  <c r="M396" i="3" a="1"/>
  <c r="M396" i="3" s="1"/>
  <c r="AI396" i="3" s="1"/>
  <c r="E398" i="3" a="1"/>
  <c r="E398" i="3" s="1"/>
  <c r="E392" i="3" a="1"/>
  <c r="E392" i="3" s="1"/>
  <c r="E391" i="3" a="1"/>
  <c r="E391" i="3" s="1"/>
  <c r="H390" i="3" a="1"/>
  <c r="H390" i="3" s="1"/>
  <c r="H398" i="3" a="1"/>
  <c r="H398" i="3" s="1"/>
  <c r="H393" i="3" a="1"/>
  <c r="H393" i="3" s="1"/>
  <c r="H401" i="3" a="1"/>
  <c r="H401" i="3" s="1"/>
  <c r="H396" i="3" a="1"/>
  <c r="H396" i="3" s="1"/>
  <c r="H391" i="3" a="1"/>
  <c r="H391" i="3" s="1"/>
  <c r="H399" i="3" a="1"/>
  <c r="H399" i="3" s="1"/>
  <c r="E401" i="3" a="1"/>
  <c r="E401" i="3" s="1"/>
  <c r="E397" i="3" a="1"/>
  <c r="E397" i="3" s="1"/>
  <c r="E390" i="3" a="1"/>
  <c r="E390" i="3" s="1"/>
  <c r="E402" i="3" a="1"/>
  <c r="E402" i="3" s="1"/>
  <c r="M365" i="3" a="1"/>
  <c r="M365" i="3" s="1"/>
  <c r="AI365" i="3" s="1"/>
  <c r="AI392" i="3"/>
  <c r="K403" i="3"/>
  <c r="AI399" i="3"/>
  <c r="E400" i="3" a="1"/>
  <c r="E400" i="3" s="1"/>
  <c r="E396" i="3" a="1"/>
  <c r="E396" i="3" s="1"/>
  <c r="E395" i="3" a="1"/>
  <c r="E395" i="3" s="1"/>
  <c r="H394" i="3" a="1"/>
  <c r="H394" i="3" s="1"/>
  <c r="H402" i="3" a="1"/>
  <c r="H402" i="3" s="1"/>
  <c r="H397" i="3" a="1"/>
  <c r="H397" i="3" s="1"/>
  <c r="H392" i="3" a="1"/>
  <c r="H392" i="3" s="1"/>
  <c r="H400" i="3" a="1"/>
  <c r="H400" i="3" s="1"/>
  <c r="E399" i="3" a="1"/>
  <c r="E399" i="3" s="1"/>
  <c r="E394" i="3" a="1"/>
  <c r="E394" i="3" s="1"/>
  <c r="E393" i="3" a="1"/>
  <c r="E393" i="3" s="1"/>
  <c r="M115" i="3" a="1"/>
  <c r="M115" i="3" s="1"/>
  <c r="H56" i="3" a="1"/>
  <c r="H56" i="3" s="1"/>
  <c r="AM56" i="3" s="1"/>
  <c r="M56" i="3" a="1"/>
  <c r="M56" i="3" s="1"/>
  <c r="M41" i="3" a="1"/>
  <c r="M41" i="3" s="1"/>
  <c r="H41" i="3" a="1"/>
  <c r="H41" i="3" s="1"/>
  <c r="AM41" i="3" s="1"/>
  <c r="M372" i="3" a="1"/>
  <c r="M372" i="3" s="1"/>
  <c r="AI372" i="3" s="1"/>
  <c r="M374" i="3" a="1"/>
  <c r="M374" i="3" s="1"/>
  <c r="AI374" i="3" s="1"/>
  <c r="M363" i="3" a="1"/>
  <c r="M363" i="3" s="1"/>
  <c r="AI363" i="3" s="1"/>
  <c r="M368" i="3" a="1"/>
  <c r="M368" i="3" s="1"/>
  <c r="AI368" i="3" s="1"/>
  <c r="AJ19" i="3"/>
  <c r="AJ21" i="3" s="1"/>
  <c r="K19" i="3"/>
  <c r="K21" i="3" s="1"/>
  <c r="M16" i="3" a="1"/>
  <c r="M16" i="3" s="1"/>
  <c r="M367" i="3" a="1"/>
  <c r="M367" i="3" s="1"/>
  <c r="AI367" i="3" s="1"/>
  <c r="M369" i="3" a="1"/>
  <c r="M369" i="3" s="1"/>
  <c r="AI369" i="3" s="1"/>
  <c r="M366" i="3" a="1"/>
  <c r="M366" i="3" s="1"/>
  <c r="AI366" i="3" s="1"/>
  <c r="M362" i="3" a="1"/>
  <c r="M362" i="3" s="1"/>
  <c r="AI362" i="3" s="1"/>
  <c r="M373" i="3" a="1"/>
  <c r="M373" i="3" s="1"/>
  <c r="AI373" i="3" s="1"/>
  <c r="K375" i="3"/>
  <c r="M371" i="3" a="1"/>
  <c r="M371" i="3" s="1"/>
  <c r="AI371" i="3" s="1"/>
  <c r="M370" i="3" a="1"/>
  <c r="M370" i="3" s="1"/>
  <c r="AI370" i="3" s="1"/>
  <c r="M364" i="3" a="1"/>
  <c r="M364" i="3" s="1"/>
  <c r="AI364" i="3" s="1"/>
  <c r="K154" i="3"/>
  <c r="K156" i="3" s="1"/>
  <c r="M144" i="3" a="1"/>
  <c r="M144" i="3" s="1"/>
  <c r="M148" i="3" a="1"/>
  <c r="M148" i="3" s="1"/>
  <c r="M153" i="3" a="1"/>
  <c r="M153" i="3" s="1"/>
  <c r="M147" i="3" a="1"/>
  <c r="M147" i="3" s="1"/>
  <c r="M150" i="3" a="1"/>
  <c r="M150" i="3" s="1"/>
  <c r="M145" i="3" a="1"/>
  <c r="M145" i="3" s="1"/>
  <c r="M149" i="3" a="1"/>
  <c r="M149" i="3" s="1"/>
  <c r="M152" i="3" a="1"/>
  <c r="M152" i="3" s="1"/>
  <c r="M151" i="3" a="1"/>
  <c r="M151" i="3" s="1"/>
  <c r="M146" i="3" a="1"/>
  <c r="M146" i="3" s="1"/>
  <c r="M58" i="3" a="1"/>
  <c r="M58" i="3" s="1"/>
  <c r="M44" i="3" a="1"/>
  <c r="M44" i="3" s="1"/>
  <c r="M29" i="3" a="1"/>
  <c r="M29" i="3" s="1"/>
  <c r="M64" i="3" a="1"/>
  <c r="M64" i="3" s="1"/>
  <c r="M97" i="3" a="1"/>
  <c r="M97" i="3" s="1"/>
  <c r="M25" i="3" a="1"/>
  <c r="M25" i="3" s="1"/>
  <c r="M70" i="3" a="1"/>
  <c r="M70" i="3" s="1"/>
  <c r="M42" i="3" a="1"/>
  <c r="M42" i="3" s="1"/>
  <c r="M104" i="3" a="1"/>
  <c r="M104" i="3" s="1"/>
  <c r="M51" i="3" a="1"/>
  <c r="M51" i="3" s="1"/>
  <c r="M34" i="3" a="1"/>
  <c r="M34" i="3" s="1"/>
  <c r="M77" i="3" a="1"/>
  <c r="M77" i="3" s="1"/>
  <c r="M69" i="3" a="1"/>
  <c r="M69" i="3" s="1"/>
  <c r="M35" i="3" a="1"/>
  <c r="M35" i="3" s="1"/>
  <c r="M75" i="3" a="1"/>
  <c r="M75" i="3" s="1"/>
  <c r="M85" i="3" a="1"/>
  <c r="M85" i="3" s="1"/>
  <c r="M61" i="3" a="1"/>
  <c r="M61" i="3" s="1"/>
  <c r="M12" i="3" a="1"/>
  <c r="M12" i="3" s="1"/>
  <c r="M40" i="3" a="1"/>
  <c r="M40" i="3" s="1"/>
  <c r="M39" i="3" a="1"/>
  <c r="M39" i="3" s="1"/>
  <c r="M103" i="3" a="1"/>
  <c r="M103" i="3" s="1"/>
  <c r="M84" i="3" a="1"/>
  <c r="M84" i="3" s="1"/>
  <c r="M81" i="3" a="1"/>
  <c r="M81" i="3" s="1"/>
  <c r="M33" i="3" a="1"/>
  <c r="M33" i="3" s="1"/>
  <c r="M113" i="3" a="1"/>
  <c r="M113" i="3" s="1"/>
  <c r="M73" i="3" a="1"/>
  <c r="M73" i="3" s="1"/>
  <c r="M101" i="3" a="1"/>
  <c r="M101" i="3" s="1"/>
  <c r="M5" i="3" a="1"/>
  <c r="M5" i="3" s="1"/>
  <c r="M48" i="3" a="1"/>
  <c r="M48" i="3" s="1"/>
  <c r="M83" i="3" a="1"/>
  <c r="M83" i="3" s="1"/>
  <c r="M49" i="3" a="1"/>
  <c r="M49" i="3" s="1"/>
  <c r="M80" i="3" a="1"/>
  <c r="M80" i="3" s="1"/>
  <c r="M108" i="3" a="1"/>
  <c r="M108" i="3" s="1"/>
  <c r="M67" i="3" a="1"/>
  <c r="M67" i="3" s="1"/>
  <c r="M28" i="3" a="1"/>
  <c r="M28" i="3" s="1"/>
  <c r="M54" i="3" a="1"/>
  <c r="M54" i="3" s="1"/>
  <c r="M112" i="3" a="1"/>
  <c r="M112" i="3" s="1"/>
  <c r="M31" i="3" a="1"/>
  <c r="M31" i="3" s="1"/>
  <c r="M72" i="3" a="1"/>
  <c r="M72" i="3" s="1"/>
  <c r="M37" i="3" a="1"/>
  <c r="M37" i="3" s="1"/>
  <c r="M60" i="3" a="1"/>
  <c r="M60" i="3" s="1"/>
  <c r="M99" i="3" a="1"/>
  <c r="M99" i="3" s="1"/>
  <c r="M47" i="3" a="1"/>
  <c r="M47" i="3" s="1"/>
  <c r="M82" i="3" a="1"/>
  <c r="M82" i="3" s="1"/>
  <c r="M52" i="3" a="1"/>
  <c r="M52" i="3" s="1"/>
  <c r="M114" i="3" a="1"/>
  <c r="M114" i="3" s="1"/>
  <c r="M11" i="3" a="1"/>
  <c r="M11" i="3" s="1"/>
  <c r="M74" i="3" a="1"/>
  <c r="M74" i="3" s="1"/>
  <c r="M63" i="3" a="1"/>
  <c r="M63" i="3" s="1"/>
  <c r="M62" i="3" a="1"/>
  <c r="M62" i="3" s="1"/>
  <c r="M50" i="3" a="1"/>
  <c r="M50" i="3" s="1"/>
  <c r="M68" i="3" a="1"/>
  <c r="M68" i="3" s="1"/>
  <c r="M55" i="3" a="1"/>
  <c r="M55" i="3" s="1"/>
  <c r="M32" i="3" a="1"/>
  <c r="M32" i="3" s="1"/>
  <c r="M38" i="3" a="1"/>
  <c r="M38" i="3" s="1"/>
  <c r="M66" i="3" a="1"/>
  <c r="M66" i="3" s="1"/>
  <c r="M27" i="3" a="1"/>
  <c r="M27" i="3" s="1"/>
  <c r="M53" i="3" a="1"/>
  <c r="M53" i="3" s="1"/>
  <c r="M109" i="3" a="1"/>
  <c r="M109" i="3" s="1"/>
  <c r="M30" i="3" a="1"/>
  <c r="M30" i="3" s="1"/>
  <c r="M71" i="3" a="1"/>
  <c r="M71" i="3" s="1"/>
  <c r="M36" i="3" a="1"/>
  <c r="M36" i="3" s="1"/>
  <c r="M59" i="3" a="1"/>
  <c r="M59" i="3" s="1"/>
  <c r="M98" i="3" a="1"/>
  <c r="M98" i="3" s="1"/>
  <c r="M43" i="3" a="1"/>
  <c r="M43" i="3" s="1"/>
  <c r="M76" i="3" a="1"/>
  <c r="M76" i="3" s="1"/>
  <c r="M45" i="3" a="1"/>
  <c r="M45" i="3" s="1"/>
  <c r="M78" i="3" a="1"/>
  <c r="M78" i="3" s="1"/>
  <c r="M105" i="3" a="1"/>
  <c r="M105" i="3" s="1"/>
  <c r="M65" i="3" a="1"/>
  <c r="M65" i="3" s="1"/>
  <c r="M26" i="3" a="1"/>
  <c r="M26" i="3" s="1"/>
  <c r="M57" i="3" a="1"/>
  <c r="M57" i="3" s="1"/>
  <c r="M102" i="3" a="1"/>
  <c r="M102" i="3" s="1"/>
  <c r="M18" i="3" a="1"/>
  <c r="M18" i="3" s="1"/>
  <c r="M10" i="3" a="1"/>
  <c r="M10" i="3" s="1"/>
  <c r="M111" i="3" a="1"/>
  <c r="M111" i="3" s="1"/>
  <c r="M15" i="3" a="1"/>
  <c r="M15" i="3" s="1"/>
  <c r="M17" i="3" a="1"/>
  <c r="M17" i="3" s="1"/>
  <c r="M46" i="3" a="1"/>
  <c r="M46" i="3" s="1"/>
  <c r="M79" i="3" a="1"/>
  <c r="M79" i="3" s="1"/>
  <c r="M107" i="3" a="1"/>
  <c r="M107" i="3" s="1"/>
  <c r="M8" i="3" a="1"/>
  <c r="M8" i="3" s="1"/>
  <c r="M6" i="3" a="1"/>
  <c r="M6" i="3" s="1"/>
  <c r="M9" i="3" a="1"/>
  <c r="M9" i="3" s="1"/>
  <c r="M14" i="3" a="1"/>
  <c r="M14" i="3" s="1"/>
  <c r="M13" i="3" a="1"/>
  <c r="M13" i="3" s="1"/>
  <c r="CC246" i="2"/>
  <c r="CB246" i="2"/>
  <c r="CD246" i="2"/>
  <c r="CB201" i="2"/>
  <c r="CC201" i="2"/>
  <c r="CD201" i="2"/>
  <c r="CE201" i="2"/>
  <c r="CB101" i="2"/>
  <c r="CC101" i="2"/>
  <c r="CD101" i="2"/>
  <c r="AM248" i="2"/>
  <c r="CE246" i="2"/>
  <c r="L21" i="3"/>
  <c r="DS148" i="2"/>
  <c r="AE252" i="2"/>
  <c r="AG101" i="2"/>
  <c r="AJ375" i="3"/>
  <c r="AO162" i="3" a="1"/>
  <c r="AO162" i="3" s="1"/>
  <c r="AO115" i="3" a="1"/>
  <c r="AO115" i="3" s="1"/>
  <c r="AO103" i="3" a="1"/>
  <c r="AO103" i="3" s="1"/>
  <c r="AO153" i="3" a="1"/>
  <c r="AO153" i="3" s="1"/>
  <c r="AO298" i="3" a="1"/>
  <c r="AO298" i="3" s="1"/>
  <c r="AO288" i="3" a="1"/>
  <c r="AO288" i="3" s="1"/>
  <c r="AO338" i="3" a="1"/>
  <c r="AO338" i="3" s="1"/>
  <c r="AO150" i="3" a="1"/>
  <c r="AO150" i="3" s="1"/>
  <c r="AO367" i="3" a="1"/>
  <c r="AO367" i="3" s="1"/>
  <c r="AP365" i="3" a="1"/>
  <c r="AP365" i="3" s="1"/>
  <c r="AP292" i="3" a="1"/>
  <c r="AP292" i="3" s="1"/>
  <c r="AP289" i="3" s="1"/>
  <c r="AR150" i="3" a="1"/>
  <c r="AR150" i="3" s="1"/>
  <c r="AP369" i="3" a="1"/>
  <c r="AP369" i="3" s="1"/>
  <c r="AP8" i="3" a="1"/>
  <c r="AP8" i="3" s="1"/>
  <c r="AO167" i="3" a="1"/>
  <c r="AO167" i="3" s="1"/>
  <c r="AO5" i="3" a="1"/>
  <c r="AO5" i="3" s="1"/>
  <c r="AO7" i="3" s="1"/>
  <c r="AO18" i="3" a="1"/>
  <c r="AO18" i="3" s="1"/>
  <c r="AO223" i="3" a="1"/>
  <c r="AO223" i="3" s="1"/>
  <c r="AO101" i="3" a="1"/>
  <c r="AO101" i="3" s="1"/>
  <c r="AP382" i="3" a="1"/>
  <c r="AP382" i="3" s="1"/>
  <c r="AP16" i="3" a="1"/>
  <c r="AP16" i="3" s="1"/>
  <c r="AO173" i="3" a="1"/>
  <c r="AO173" i="3" s="1"/>
  <c r="AO357" i="3" a="1"/>
  <c r="AO357" i="3" s="1"/>
  <c r="AO306" i="3" a="1"/>
  <c r="AO306" i="3" s="1"/>
  <c r="AO292" i="3" a="1"/>
  <c r="AO292" i="3" s="1"/>
  <c r="AO289" i="3" s="1"/>
  <c r="AO222" i="3" a="1"/>
  <c r="AO222" i="3" s="1"/>
  <c r="AO303" i="3" a="1"/>
  <c r="AO303" i="3" s="1"/>
  <c r="AO155" i="3" a="1"/>
  <c r="AO155" i="3" s="1"/>
  <c r="AO371" i="3" a="1"/>
  <c r="AO371" i="3" s="1"/>
  <c r="AO102" i="3" a="1"/>
  <c r="AO102" i="3" s="1"/>
  <c r="AO255" i="3" a="1"/>
  <c r="AO255" i="3" s="1"/>
  <c r="AO308" i="3" a="1"/>
  <c r="AO308" i="3" s="1"/>
  <c r="AO177" i="3" a="1"/>
  <c r="AO177" i="3" s="1"/>
  <c r="AO211" i="3" a="1"/>
  <c r="AO211" i="3" s="1"/>
  <c r="AO210" i="3" s="1"/>
  <c r="AO97" i="3" a="1"/>
  <c r="AO97" i="3" s="1"/>
  <c r="AO107" i="3" a="1"/>
  <c r="AO107" i="3" s="1"/>
  <c r="AP205" i="3" a="1"/>
  <c r="AP205" i="3" s="1"/>
  <c r="AP244" i="3" a="1"/>
  <c r="AP244" i="3" s="1"/>
  <c r="AO179" i="3" a="1"/>
  <c r="AO179" i="3" s="1"/>
  <c r="AO11" i="3" a="1"/>
  <c r="AO11" i="3" s="1"/>
  <c r="AO176" i="3" a="1"/>
  <c r="AO176" i="3" s="1"/>
  <c r="AO229" i="3" a="1"/>
  <c r="AO229" i="3" s="1"/>
  <c r="AO374" i="3" a="1"/>
  <c r="AO374" i="3" s="1"/>
  <c r="AO273" i="3" a="1"/>
  <c r="AO273" i="3" s="1"/>
  <c r="AO246" i="3" a="1"/>
  <c r="AO246" i="3" s="1"/>
  <c r="AO16" i="3" a="1"/>
  <c r="AO16" i="3" s="1"/>
  <c r="AO209" i="3" a="1"/>
  <c r="AO209" i="3" s="1"/>
  <c r="AO206" i="3" s="1"/>
  <c r="AP221" i="3" a="1"/>
  <c r="AP221" i="3" s="1"/>
  <c r="AP173" i="3" a="1"/>
  <c r="AP173" i="3" s="1"/>
  <c r="AP168" i="3" a="1"/>
  <c r="AP168" i="3" s="1"/>
  <c r="AO305" i="3" a="1"/>
  <c r="AO305" i="3" s="1"/>
  <c r="AO327" i="3" a="1"/>
  <c r="AO327" i="3" s="1"/>
  <c r="AO144" i="3" a="1"/>
  <c r="AO144" i="3" s="1"/>
  <c r="AO164" i="3" a="1"/>
  <c r="AO164" i="3" s="1"/>
  <c r="AO114" i="3" a="1"/>
  <c r="AO114" i="3" s="1"/>
  <c r="AO111" i="3" a="1"/>
  <c r="AO111" i="3" s="1"/>
  <c r="AO112" i="3" a="1"/>
  <c r="AO112" i="3" s="1"/>
  <c r="AO248" i="3" a="1"/>
  <c r="AO248" i="3" s="1"/>
  <c r="AO152" i="3" a="1"/>
  <c r="AO152" i="3" s="1"/>
  <c r="AO370" i="3" a="1"/>
  <c r="AO370" i="3" s="1"/>
  <c r="AO334" i="3" a="1"/>
  <c r="AO334" i="3" s="1"/>
  <c r="AO204" i="3" a="1"/>
  <c r="AO204" i="3" s="1"/>
  <c r="AO251" i="3" a="1"/>
  <c r="AO251" i="3" s="1"/>
  <c r="AO14" i="3" a="1"/>
  <c r="AO14" i="3" s="1"/>
  <c r="AO178" i="3" a="1"/>
  <c r="AO178" i="3" s="1"/>
  <c r="AO163" i="3" a="1"/>
  <c r="AO163" i="3" s="1"/>
  <c r="AO148" i="3" a="1"/>
  <c r="AO148" i="3" s="1"/>
  <c r="AO363" i="3" a="1"/>
  <c r="AO363" i="3" s="1"/>
  <c r="AO8" i="3" a="1"/>
  <c r="AO8" i="3" s="1"/>
  <c r="AO200" i="3" a="1"/>
  <c r="AO200" i="3" s="1"/>
  <c r="AO199" i="3" s="1"/>
  <c r="AO287" i="3" a="1"/>
  <c r="AO287" i="3" s="1"/>
  <c r="AO333" i="3" a="1"/>
  <c r="AO333" i="3" s="1"/>
  <c r="AO172" i="3" a="1"/>
  <c r="AO172" i="3" s="1"/>
  <c r="AP333" i="3" a="1"/>
  <c r="AP333" i="3" s="1"/>
  <c r="AP177" i="3" a="1"/>
  <c r="AP177" i="3" s="1"/>
  <c r="AP305" i="3" a="1"/>
  <c r="AP305" i="3" s="1"/>
  <c r="AP357" i="3" a="1"/>
  <c r="AP357" i="3" s="1"/>
  <c r="AP380" i="3" a="1"/>
  <c r="AP380" i="3" s="1"/>
  <c r="AP144" i="3" a="1"/>
  <c r="AP144" i="3" s="1"/>
  <c r="AP228" i="3" a="1"/>
  <c r="AP228" i="3" s="1"/>
  <c r="AP303" i="3" a="1"/>
  <c r="AP303" i="3" s="1"/>
  <c r="AP153" i="3" a="1"/>
  <c r="AP153" i="3" s="1"/>
  <c r="AP366" i="3" a="1"/>
  <c r="AP366" i="3" s="1"/>
  <c r="AP231" i="3" a="1"/>
  <c r="AP231" i="3" s="1"/>
  <c r="AP251" i="3" a="1"/>
  <c r="AP251" i="3" s="1"/>
  <c r="AP306" i="3" a="1"/>
  <c r="AP306" i="3" s="1"/>
  <c r="AP312" i="3" a="1"/>
  <c r="AP312" i="3" s="1"/>
  <c r="AP311" i="3" a="1"/>
  <c r="AP311" i="3" s="1"/>
  <c r="AP240" i="3" a="1"/>
  <c r="AP240" i="3" s="1"/>
  <c r="AP239" i="3" s="1"/>
  <c r="AP155" i="3" a="1"/>
  <c r="AP155" i="3" s="1"/>
  <c r="AP334" i="3" a="1"/>
  <c r="AP334" i="3" s="1"/>
  <c r="AP14" i="3" a="1"/>
  <c r="AP14" i="3" s="1"/>
  <c r="AP300" i="3" a="1"/>
  <c r="AP300" i="3" s="1"/>
  <c r="AP294" i="3" a="1"/>
  <c r="AP294" i="3" s="1"/>
  <c r="AP293" i="3" s="1"/>
  <c r="AP149" i="3" a="1"/>
  <c r="AP149" i="3" s="1"/>
  <c r="AP172" i="3" a="1"/>
  <c r="AP172" i="3" s="1"/>
  <c r="AP214" i="3" a="1"/>
  <c r="AP214" i="3" s="1"/>
  <c r="AP381" i="3" a="1"/>
  <c r="AP381" i="3" s="1"/>
  <c r="AP11" i="3" a="1"/>
  <c r="AP11" i="3" s="1"/>
  <c r="AP167" i="3" a="1"/>
  <c r="AP167" i="3" s="1"/>
  <c r="AP362" i="3" a="1"/>
  <c r="AP362" i="3" s="1"/>
  <c r="AR148" i="3" a="1"/>
  <c r="AR148" i="3" s="1"/>
  <c r="AP298" i="3" a="1"/>
  <c r="AP298" i="3" s="1"/>
  <c r="AR144" i="3" a="1"/>
  <c r="AR144" i="3" s="1"/>
  <c r="AP179" i="3" a="1"/>
  <c r="AP179" i="3" s="1"/>
  <c r="AP147" i="3" a="1"/>
  <c r="AP147" i="3" s="1"/>
  <c r="AP308" i="3" a="1"/>
  <c r="AP308" i="3" s="1"/>
  <c r="AP367" i="3" a="1"/>
  <c r="AP367" i="3" s="1"/>
  <c r="AP176" i="3" a="1"/>
  <c r="AP176" i="3" s="1"/>
  <c r="AP5" i="3" a="1"/>
  <c r="AP5" i="3" s="1"/>
  <c r="AW7" i="3" s="1"/>
  <c r="AR145" i="3" a="1"/>
  <c r="AR145" i="3" s="1"/>
  <c r="AP372" i="3" a="1"/>
  <c r="AP372" i="3" s="1"/>
  <c r="AP373" i="3" a="1"/>
  <c r="AP373" i="3" s="1"/>
  <c r="AP18" i="3" a="1"/>
  <c r="AP18" i="3" s="1"/>
  <c r="AP383" i="3" a="1"/>
  <c r="AP383" i="3" s="1"/>
  <c r="AP229" i="3" a="1"/>
  <c r="AP229" i="3" s="1"/>
  <c r="AP220" i="3" a="1"/>
  <c r="AP220" i="3" s="1"/>
  <c r="AP209" i="3" a="1"/>
  <c r="AP209" i="3" s="1"/>
  <c r="AP206" i="3" s="1"/>
  <c r="AP222" i="3" a="1"/>
  <c r="AP222" i="3" s="1"/>
  <c r="AP323" i="3" a="1"/>
  <c r="AP323" i="3" s="1"/>
  <c r="AP322" i="3" s="1"/>
  <c r="AR146" i="3" a="1"/>
  <c r="AR146" i="3" s="1"/>
  <c r="AP250" i="3" a="1"/>
  <c r="AP250" i="3" s="1"/>
  <c r="AP364" i="3" a="1"/>
  <c r="AP364" i="3" s="1"/>
  <c r="AP274" i="3" a="1"/>
  <c r="AP274" i="3" s="1"/>
  <c r="AP178" i="3" a="1"/>
  <c r="AP178" i="3" s="1"/>
  <c r="AP368" i="3" a="1"/>
  <c r="AP368" i="3" s="1"/>
  <c r="AR149" i="3" a="1"/>
  <c r="AR149" i="3" s="1"/>
  <c r="AP150" i="3" a="1"/>
  <c r="AP150" i="3" s="1"/>
  <c r="AP164" i="3" a="1"/>
  <c r="AP164" i="3" s="1"/>
  <c r="AP200" i="3" a="1"/>
  <c r="AP200" i="3" s="1"/>
  <c r="AP199" i="3" s="1"/>
  <c r="AP304" i="3" a="1"/>
  <c r="AP304" i="3" s="1"/>
  <c r="AP371" i="3" a="1"/>
  <c r="AP371" i="3" s="1"/>
  <c r="AP384" i="3" a="1"/>
  <c r="AP384" i="3" s="1"/>
  <c r="AP163" i="3" a="1"/>
  <c r="AP163" i="3" s="1"/>
  <c r="AP355" i="3" a="1"/>
  <c r="AP355" i="3" s="1"/>
  <c r="AP146" i="3" a="1"/>
  <c r="AP146" i="3" s="1"/>
  <c r="AP223" i="3" a="1"/>
  <c r="AP223" i="3" s="1"/>
  <c r="AP272" i="3" a="1"/>
  <c r="AP272" i="3" s="1"/>
  <c r="AP166" i="3" a="1"/>
  <c r="AP166" i="3" s="1"/>
  <c r="AP225" i="3" a="1"/>
  <c r="AP225" i="3" s="1"/>
  <c r="AO362" i="3" a="1"/>
  <c r="AO362" i="3" s="1"/>
  <c r="AO323" i="3" a="1"/>
  <c r="AO323" i="3" s="1"/>
  <c r="AO322" i="3" s="1"/>
  <c r="AO10" i="3" a="1"/>
  <c r="AO10" i="3" s="1"/>
  <c r="AO224" i="3" a="1"/>
  <c r="AO224" i="3" s="1"/>
  <c r="AO312" i="3" a="1"/>
  <c r="AO312" i="3" s="1"/>
  <c r="AO384" i="3" a="1"/>
  <c r="AO384" i="3" s="1"/>
  <c r="AO364" i="3" a="1"/>
  <c r="AO364" i="3" s="1"/>
  <c r="AO228" i="3" a="1"/>
  <c r="AO228" i="3" s="1"/>
  <c r="AO15" i="3" a="1"/>
  <c r="AO15" i="3" s="1"/>
  <c r="AV21" i="3" s="1"/>
  <c r="AV132" i="3" s="1"/>
  <c r="AO381" i="3" a="1"/>
  <c r="AO381" i="3" s="1"/>
  <c r="AO174" i="3" a="1"/>
  <c r="AO174" i="3" s="1"/>
  <c r="AO314" i="3" a="1"/>
  <c r="AO314" i="3" s="1"/>
  <c r="AO372" i="3" a="1"/>
  <c r="AO372" i="3" s="1"/>
  <c r="AO170" i="3" a="1"/>
  <c r="AO170" i="3" s="1"/>
  <c r="AP151" i="3" a="1"/>
  <c r="AP151" i="3" s="1"/>
  <c r="AO225" i="3" a="1"/>
  <c r="AO225" i="3" s="1"/>
  <c r="AO329" i="3" a="1"/>
  <c r="AO329" i="3" s="1"/>
  <c r="AO382" i="3" a="1"/>
  <c r="AO382" i="3" s="1"/>
  <c r="AO331" i="3" a="1"/>
  <c r="AO331" i="3" s="1"/>
  <c r="AO369" i="3" a="1"/>
  <c r="AO369" i="3" s="1"/>
  <c r="AO166" i="3" a="1"/>
  <c r="AO166" i="3" s="1"/>
  <c r="AO180" i="3" a="1"/>
  <c r="AO180" i="3" s="1"/>
  <c r="AO366" i="3" a="1"/>
  <c r="AO366" i="3" s="1"/>
  <c r="AP215" i="3" a="1"/>
  <c r="AP215" i="3" s="1"/>
  <c r="AP329" i="3" a="1"/>
  <c r="AP329" i="3" s="1"/>
  <c r="AP246" i="3" a="1"/>
  <c r="AP246" i="3" s="1"/>
  <c r="AP287" i="3" a="1"/>
  <c r="AP287" i="3" s="1"/>
  <c r="AP297" i="3" a="1"/>
  <c r="AP297" i="3" s="1"/>
  <c r="AO272" i="3" a="1"/>
  <c r="AO272" i="3" s="1"/>
  <c r="AO221" i="3" a="1"/>
  <c r="AO221" i="3" s="1"/>
  <c r="AO304" i="3" a="1"/>
  <c r="AO304" i="3" s="1"/>
  <c r="AO380" i="3" a="1"/>
  <c r="AO380" i="3" s="1"/>
  <c r="AO105" i="3" a="1"/>
  <c r="AO105" i="3" s="1"/>
  <c r="AO99" i="3" a="1"/>
  <c r="AO99" i="3" s="1"/>
  <c r="AO113" i="3" a="1"/>
  <c r="AO113" i="3" s="1"/>
  <c r="AP288" i="3" a="1"/>
  <c r="AP288" i="3" s="1"/>
  <c r="AP356" i="3" a="1"/>
  <c r="AP356" i="3" s="1"/>
  <c r="AR153" i="3" a="1"/>
  <c r="AR153" i="3" s="1"/>
  <c r="AR147" i="3" a="1"/>
  <c r="AR147" i="3" s="1"/>
  <c r="AP338" i="3" a="1"/>
  <c r="AP338" i="3" s="1"/>
  <c r="AP180" i="3" a="1"/>
  <c r="AP180" i="3" s="1"/>
  <c r="AP370" i="3" a="1"/>
  <c r="AP370" i="3" s="1"/>
  <c r="AP374" i="3" a="1"/>
  <c r="AP374" i="3" s="1"/>
  <c r="AP15" i="3" a="1"/>
  <c r="AP15" i="3" s="1"/>
  <c r="AW21" i="3" s="1"/>
  <c r="AW132" i="3" s="1"/>
  <c r="AP314" i="3" a="1"/>
  <c r="AP314" i="3" s="1"/>
  <c r="AP283" i="3" a="1"/>
  <c r="AP283" i="3" s="1"/>
  <c r="AP282" i="3" s="1"/>
  <c r="AP307" i="3" a="1"/>
  <c r="AP307" i="3" s="1"/>
  <c r="AP217" i="3" a="1"/>
  <c r="AP217" i="3" s="1"/>
  <c r="AP327" i="3" a="1"/>
  <c r="AP327" i="3" s="1"/>
  <c r="AP204" i="3" a="1"/>
  <c r="AP204" i="3" s="1"/>
  <c r="AR155" i="3" a="1"/>
  <c r="AR155" i="3" s="1"/>
  <c r="AP224" i="3" a="1"/>
  <c r="AP224" i="3" s="1"/>
  <c r="AP255" i="3" a="1"/>
  <c r="AP255" i="3" s="1"/>
  <c r="AP10" i="3" a="1"/>
  <c r="AP10" i="3" s="1"/>
  <c r="AP273" i="3" a="1"/>
  <c r="AP273" i="3" s="1"/>
  <c r="AP152" i="3" a="1"/>
  <c r="AP152" i="3" s="1"/>
  <c r="AP145" i="3" a="1"/>
  <c r="AP145" i="3" s="1"/>
  <c r="AP174" i="3" a="1"/>
  <c r="AP174" i="3" s="1"/>
  <c r="AP363" i="3" a="1"/>
  <c r="AP363" i="3" s="1"/>
  <c r="AO368" i="3" a="1"/>
  <c r="AO368" i="3" s="1"/>
  <c r="AO297" i="3" a="1"/>
  <c r="AO297" i="3" s="1"/>
  <c r="AO149" i="3" a="1"/>
  <c r="AO149" i="3" s="1"/>
  <c r="AO146" i="3" a="1"/>
  <c r="AO146" i="3" s="1"/>
  <c r="AO220" i="3" a="1"/>
  <c r="AO220" i="3" s="1"/>
  <c r="AO231" i="3" a="1"/>
  <c r="AO231" i="3" s="1"/>
  <c r="AO383" i="3" a="1"/>
  <c r="AO383" i="3" s="1"/>
  <c r="AO145" i="3" a="1"/>
  <c r="AO145" i="3" s="1"/>
  <c r="AO151" i="3" a="1"/>
  <c r="AO151" i="3" s="1"/>
  <c r="AO300" i="3" a="1"/>
  <c r="AO300" i="3" s="1"/>
  <c r="AO168" i="3" a="1"/>
  <c r="AO168" i="3" s="1"/>
  <c r="AO355" i="3" a="1"/>
  <c r="AO355" i="3" s="1"/>
  <c r="AO365" i="3" a="1"/>
  <c r="AO365" i="3" s="1"/>
  <c r="AO283" i="3" a="1"/>
  <c r="AO283" i="3" s="1"/>
  <c r="AO282" i="3" s="1"/>
  <c r="AO147" i="3" a="1"/>
  <c r="AO147" i="3" s="1"/>
  <c r="AO217" i="3" a="1"/>
  <c r="AO217" i="3" s="1"/>
  <c r="AO356" i="3" a="1"/>
  <c r="AO356" i="3" s="1"/>
  <c r="AO307" i="3" a="1"/>
  <c r="AO307" i="3" s="1"/>
  <c r="AO215" i="3" a="1"/>
  <c r="AO215" i="3" s="1"/>
  <c r="AO244" i="3" a="1"/>
  <c r="AO244" i="3" s="1"/>
  <c r="AO205" i="3" a="1"/>
  <c r="AO205" i="3" s="1"/>
  <c r="AO373" i="3" a="1"/>
  <c r="AO373" i="3" s="1"/>
  <c r="AO311" i="3" a="1"/>
  <c r="AO311" i="3" s="1"/>
  <c r="AO240" i="3" a="1"/>
  <c r="AO240" i="3" s="1"/>
  <c r="AO239" i="3" s="1"/>
  <c r="AO250" i="3" a="1"/>
  <c r="AO250" i="3" s="1"/>
  <c r="AP211" i="3" a="1"/>
  <c r="AP211" i="3" s="1"/>
  <c r="AP210" i="3" s="1"/>
  <c r="AR152" i="3" a="1"/>
  <c r="AR152" i="3" s="1"/>
  <c r="AP248" i="3" a="1"/>
  <c r="AP248" i="3" s="1"/>
  <c r="AP148" i="3" a="1"/>
  <c r="AP148" i="3" s="1"/>
  <c r="AO274" i="3" a="1"/>
  <c r="AO274" i="3" s="1"/>
  <c r="AO294" i="3" a="1"/>
  <c r="AO294" i="3" s="1"/>
  <c r="AO293" i="3" s="1"/>
  <c r="AO214" i="3" a="1"/>
  <c r="AO214" i="3" s="1"/>
  <c r="AO109" i="3" a="1"/>
  <c r="AO109" i="3" s="1"/>
  <c r="AO108" i="3" a="1"/>
  <c r="AO108" i="3" s="1"/>
  <c r="K96" i="3"/>
  <c r="DT161" i="2"/>
  <c r="AH64" i="3" a="1"/>
  <c r="AH64" i="3" s="1"/>
  <c r="AH72" i="3" a="1"/>
  <c r="AH72" i="3" s="1"/>
  <c r="AH66" i="3" a="1"/>
  <c r="AH66" i="3" s="1"/>
  <c r="AJ110" i="3"/>
  <c r="AP109" i="3" a="1"/>
  <c r="AP109" i="3" s="1"/>
  <c r="AP105" i="3" a="1"/>
  <c r="AP105" i="3" s="1"/>
  <c r="AH48" i="3" a="1"/>
  <c r="AH48" i="3" s="1"/>
  <c r="AH84" i="3" a="1"/>
  <c r="AH84" i="3" s="1"/>
  <c r="AH51" i="3" a="1"/>
  <c r="AH51" i="3" s="1"/>
  <c r="AH98" i="3" a="1"/>
  <c r="AH98" i="3" s="1"/>
  <c r="AH69" i="3" a="1"/>
  <c r="AH69" i="3" s="1"/>
  <c r="AH36" i="3" a="1"/>
  <c r="AH36" i="3" s="1"/>
  <c r="AH73" i="3" a="1"/>
  <c r="AH73" i="3" s="1"/>
  <c r="AP107" i="3" a="1"/>
  <c r="AP107" i="3" s="1"/>
  <c r="AP103" i="3" a="1"/>
  <c r="AP103" i="3" s="1"/>
  <c r="AH39" i="3" a="1"/>
  <c r="AH39" i="3" s="1"/>
  <c r="AH76" i="3" a="1"/>
  <c r="AH76" i="3" s="1"/>
  <c r="AH43" i="3" a="1"/>
  <c r="AH43" i="3" s="1"/>
  <c r="AH79" i="3" a="1"/>
  <c r="AH79" i="3" s="1"/>
  <c r="AH42" i="3" a="1"/>
  <c r="AH42" i="3" s="1"/>
  <c r="AH45" i="3" a="1"/>
  <c r="AH45" i="3" s="1"/>
  <c r="AH81" i="3" a="1"/>
  <c r="AH81" i="3" s="1"/>
  <c r="AP99" i="3" a="1"/>
  <c r="AP99" i="3" s="1"/>
  <c r="AP113" i="3" a="1"/>
  <c r="AP113" i="3" s="1"/>
  <c r="AP108" i="3" a="1"/>
  <c r="AP108" i="3" s="1"/>
  <c r="AJ106" i="3"/>
  <c r="AH112" i="3" a="1"/>
  <c r="AH112" i="3" s="1"/>
  <c r="AH85" i="3" a="1"/>
  <c r="AH85" i="3" s="1"/>
  <c r="AH68" i="3" a="1"/>
  <c r="AH68" i="3" s="1"/>
  <c r="AH49" i="3" a="1"/>
  <c r="AH49" i="3" s="1"/>
  <c r="AH113" i="3" a="1"/>
  <c r="AH113" i="3" s="1"/>
  <c r="AH82" i="3" a="1"/>
  <c r="AH82" i="3" s="1"/>
  <c r="AH63" i="3" a="1"/>
  <c r="AH63" i="3" s="1"/>
  <c r="AH46" i="3" a="1"/>
  <c r="AH46" i="3" s="1"/>
  <c r="AH114" i="3" a="1"/>
  <c r="AH114" i="3" s="1"/>
  <c r="AH83" i="3" a="1"/>
  <c r="AH83" i="3" s="1"/>
  <c r="AH65" i="3" a="1"/>
  <c r="AH65" i="3" s="1"/>
  <c r="AH47" i="3" a="1"/>
  <c r="AH47" i="3" s="1"/>
  <c r="AH111" i="3" a="1"/>
  <c r="AH111" i="3" s="1"/>
  <c r="AH80" i="3" a="1"/>
  <c r="AH80" i="3" s="1"/>
  <c r="AH61" i="3" a="1"/>
  <c r="AH61" i="3" s="1"/>
  <c r="AH44" i="3" a="1"/>
  <c r="AH44" i="3" s="1"/>
  <c r="AP331" i="3" a="1"/>
  <c r="AP331" i="3" s="1"/>
  <c r="AP114" i="3" a="1"/>
  <c r="AP114" i="3" s="1"/>
  <c r="AP101" i="3" a="1"/>
  <c r="AP101" i="3" s="1"/>
  <c r="AH67" i="3" a="1"/>
  <c r="AH67" i="3" s="1"/>
  <c r="AH115" i="3" a="1"/>
  <c r="AH115" i="3" s="1"/>
  <c r="AH70" i="3" a="1"/>
  <c r="AH70" i="3" s="1"/>
  <c r="AH50" i="3" a="1"/>
  <c r="AH50" i="3" s="1"/>
  <c r="AH97" i="3" a="1"/>
  <c r="AH97" i="3" s="1"/>
  <c r="AH53" i="3" a="1"/>
  <c r="AH53" i="3" s="1"/>
  <c r="AH101" i="3" a="1"/>
  <c r="AH101" i="3" s="1"/>
  <c r="K110" i="3"/>
  <c r="AP112" i="3" a="1"/>
  <c r="AP112" i="3" s="1"/>
  <c r="AP98" i="3" a="1"/>
  <c r="AP98" i="3" s="1"/>
  <c r="AH57" i="3" a="1"/>
  <c r="AH57" i="3" s="1"/>
  <c r="AH104" i="3" a="1"/>
  <c r="AH104" i="3" s="1"/>
  <c r="AH60" i="3" a="1"/>
  <c r="AH60" i="3" s="1"/>
  <c r="AH109" i="3" a="1"/>
  <c r="AH109" i="3" s="1"/>
  <c r="AH59" i="3" a="1"/>
  <c r="AH59" i="3" s="1"/>
  <c r="AH62" i="3" a="1"/>
  <c r="AH62" i="3" s="1"/>
  <c r="AJ96" i="3"/>
  <c r="K106" i="3"/>
  <c r="AP102" i="3" a="1"/>
  <c r="AP102" i="3" s="1"/>
  <c r="AP111" i="3" a="1"/>
  <c r="AP111" i="3" s="1"/>
  <c r="AP115" i="3" a="1"/>
  <c r="AP115" i="3" s="1"/>
  <c r="AH107" i="3" a="1"/>
  <c r="AH107" i="3" s="1"/>
  <c r="AH77" i="3" a="1"/>
  <c r="AH77" i="3" s="1"/>
  <c r="AH58" i="3" a="1"/>
  <c r="AH58" i="3" s="1"/>
  <c r="AH40" i="3" a="1"/>
  <c r="AH40" i="3" s="1"/>
  <c r="AH102" i="3" a="1"/>
  <c r="AH102" i="3" s="1"/>
  <c r="AH74" i="3" a="1"/>
  <c r="AH74" i="3" s="1"/>
  <c r="AH54" i="3" a="1"/>
  <c r="AH54" i="3" s="1"/>
  <c r="AH37" i="3" a="1"/>
  <c r="AH37" i="3" s="1"/>
  <c r="AH103" i="3" a="1"/>
  <c r="AH103" i="3" s="1"/>
  <c r="AH75" i="3" a="1"/>
  <c r="AH75" i="3" s="1"/>
  <c r="AH55" i="3" a="1"/>
  <c r="AH55" i="3" s="1"/>
  <c r="AH38" i="3" a="1"/>
  <c r="AH38" i="3" s="1"/>
  <c r="AH99" i="3" a="1"/>
  <c r="AH99" i="3" s="1"/>
  <c r="AH71" i="3" a="1"/>
  <c r="AH71" i="3" s="1"/>
  <c r="AH52" i="3" a="1"/>
  <c r="AH52" i="3" s="1"/>
  <c r="AH35" i="3" a="1"/>
  <c r="AH35" i="3" s="1"/>
  <c r="AH30" i="3" a="1"/>
  <c r="AH30" i="3" s="1"/>
  <c r="AH27" i="3" a="1"/>
  <c r="AH27" i="3" s="1"/>
  <c r="AH33" i="3" a="1"/>
  <c r="AH33" i="3" s="1"/>
  <c r="AH31" i="3" a="1"/>
  <c r="AH31" i="3" s="1"/>
  <c r="AH34" i="3" a="1"/>
  <c r="AH34" i="3" s="1"/>
  <c r="K87" i="3"/>
  <c r="AJ87" i="3"/>
  <c r="AH25" i="3" a="1"/>
  <c r="AH25" i="3" s="1"/>
  <c r="AH28" i="3" a="1"/>
  <c r="AH28" i="3" s="1"/>
  <c r="AH29" i="3" a="1"/>
  <c r="AH29" i="3" s="1"/>
  <c r="AH32" i="3" a="1"/>
  <c r="AH32" i="3" s="1"/>
  <c r="AH26" i="3" a="1"/>
  <c r="AH26" i="3" s="1"/>
  <c r="AH14" i="3" a="1"/>
  <c r="AH14" i="3" s="1"/>
  <c r="AH8" i="3" a="1"/>
  <c r="AH8" i="3" s="1"/>
  <c r="AH153" i="3" a="1"/>
  <c r="AH153" i="3" s="1"/>
  <c r="E45" i="3" a="1"/>
  <c r="E45" i="3" s="1"/>
  <c r="AH149" i="3" a="1"/>
  <c r="AH149" i="3" s="1"/>
  <c r="AH148" i="3" a="1"/>
  <c r="AH148" i="3" s="1"/>
  <c r="AH15" i="3" a="1"/>
  <c r="AH15" i="3" s="1"/>
  <c r="E363" i="3" a="1"/>
  <c r="E363" i="3" s="1"/>
  <c r="E43" i="3" a="1"/>
  <c r="E43" i="3" s="1"/>
  <c r="E75" i="3" a="1"/>
  <c r="E75" i="3" s="1"/>
  <c r="E61" i="3" a="1"/>
  <c r="E61" i="3" s="1"/>
  <c r="E86" i="3" a="1"/>
  <c r="E86" i="3" s="1"/>
  <c r="E57" i="3" a="1"/>
  <c r="E57" i="3" s="1"/>
  <c r="E60" i="3" a="1"/>
  <c r="E60" i="3" s="1"/>
  <c r="E42" i="3" a="1"/>
  <c r="E42" i="3" s="1"/>
  <c r="E46" i="3" a="1"/>
  <c r="E46" i="3" s="1"/>
  <c r="E40" i="3" a="1"/>
  <c r="E40" i="3" s="1"/>
  <c r="E77" i="3" a="1"/>
  <c r="E77" i="3" s="1"/>
  <c r="AH144" i="3" a="1"/>
  <c r="AH144" i="3" s="1"/>
  <c r="AH150" i="3" a="1"/>
  <c r="AH150" i="3" s="1"/>
  <c r="E50" i="3" a="1"/>
  <c r="E50" i="3" s="1"/>
  <c r="E52" i="3" a="1"/>
  <c r="E52" i="3" s="1"/>
  <c r="E87" i="3" a="1"/>
  <c r="E87" i="3" s="1"/>
  <c r="E54" i="3" a="1"/>
  <c r="E54" i="3" s="1"/>
  <c r="E62" i="3" a="1"/>
  <c r="E62" i="3" s="1"/>
  <c r="E34" i="3" a="1"/>
  <c r="E34" i="3" s="1"/>
  <c r="E74" i="3" a="1"/>
  <c r="E74" i="3" s="1"/>
  <c r="E28" i="3" a="1"/>
  <c r="E28" i="3" s="1"/>
  <c r="DU69" i="2"/>
  <c r="E49" i="3" a="1"/>
  <c r="E49" i="3" s="1"/>
  <c r="E65" i="3" a="1"/>
  <c r="E65" i="3" s="1"/>
  <c r="E67" i="3" a="1"/>
  <c r="E67" i="3" s="1"/>
  <c r="E35" i="3" a="1"/>
  <c r="E35" i="3" s="1"/>
  <c r="E53" i="3" a="1"/>
  <c r="E53" i="3" s="1"/>
  <c r="E84" i="3" a="1"/>
  <c r="E84" i="3" s="1"/>
  <c r="E48" i="3" a="1"/>
  <c r="E48" i="3" s="1"/>
  <c r="E76" i="3" a="1"/>
  <c r="E76" i="3" s="1"/>
  <c r="AJ154" i="3"/>
  <c r="AJ156" i="3" s="1"/>
  <c r="E32" i="3" a="1"/>
  <c r="E32" i="3" s="1"/>
  <c r="E68" i="3" a="1"/>
  <c r="E68" i="3" s="1"/>
  <c r="E25" i="3" a="1"/>
  <c r="E25" i="3" s="1"/>
  <c r="E36" i="3" a="1"/>
  <c r="E36" i="3" s="1"/>
  <c r="E58" i="3" a="1"/>
  <c r="E58" i="3" s="1"/>
  <c r="E69" i="3" a="1"/>
  <c r="E69" i="3" s="1"/>
  <c r="E29" i="3" a="1"/>
  <c r="E29" i="3" s="1"/>
  <c r="E63" i="3" a="1"/>
  <c r="E63" i="3" s="1"/>
  <c r="E83" i="3" a="1"/>
  <c r="E83" i="3" s="1"/>
  <c r="E31" i="3" a="1"/>
  <c r="E31" i="3" s="1"/>
  <c r="E78" i="3" a="1"/>
  <c r="E78" i="3" s="1"/>
  <c r="E85" i="3" a="1"/>
  <c r="E85" i="3" s="1"/>
  <c r="E38" i="3" a="1"/>
  <c r="E38" i="3" s="1"/>
  <c r="E71" i="3" a="1"/>
  <c r="E71" i="3" s="1"/>
  <c r="E26" i="3" a="1"/>
  <c r="E26" i="3" s="1"/>
  <c r="AH151" i="3" a="1"/>
  <c r="AH151" i="3" s="1"/>
  <c r="AH145" i="3" a="1"/>
  <c r="AH145" i="3" s="1"/>
  <c r="AH147" i="3" a="1"/>
  <c r="AH147" i="3" s="1"/>
  <c r="AH5" i="3" a="1"/>
  <c r="AH5" i="3" s="1"/>
  <c r="AH10" i="3" a="1"/>
  <c r="AH10" i="3" s="1"/>
  <c r="AH16" i="3" a="1"/>
  <c r="AH16" i="3" s="1"/>
  <c r="AH18" i="3" a="1"/>
  <c r="AH18" i="3" s="1"/>
  <c r="AH152" i="3" a="1"/>
  <c r="AH152" i="3" s="1"/>
  <c r="AH146" i="3" a="1"/>
  <c r="AH146" i="3" s="1"/>
  <c r="E152" i="3" a="1"/>
  <c r="E152" i="3" s="1"/>
  <c r="E149" i="3" a="1"/>
  <c r="E149" i="3" s="1"/>
  <c r="E18" i="3" a="1"/>
  <c r="E18" i="3" s="1"/>
  <c r="E14" i="3" a="1"/>
  <c r="E14" i="3" s="1"/>
  <c r="E5" i="3" a="1"/>
  <c r="E5" i="3" s="1"/>
  <c r="E7" i="3" s="1"/>
  <c r="E8" i="3" a="1"/>
  <c r="E8" i="3" s="1"/>
  <c r="E147" i="3" a="1"/>
  <c r="E147" i="3" s="1"/>
  <c r="E368" i="3" a="1"/>
  <c r="E368" i="3" s="1"/>
  <c r="E16" i="3" a="1"/>
  <c r="E16" i="3" s="1"/>
  <c r="E362" i="3" a="1"/>
  <c r="E362" i="3" s="1"/>
  <c r="E374" i="3" a="1"/>
  <c r="E374" i="3" s="1"/>
  <c r="DV148" i="2"/>
  <c r="DT201" i="2"/>
  <c r="E366" i="3" a="1"/>
  <c r="E366" i="3" s="1"/>
  <c r="E365" i="3" a="1"/>
  <c r="E365" i="3" s="1"/>
  <c r="E146" i="3" a="1"/>
  <c r="E146" i="3" s="1"/>
  <c r="E370" i="3" a="1"/>
  <c r="E370" i="3" s="1"/>
  <c r="E11" i="3" a="1"/>
  <c r="E11" i="3" s="1"/>
  <c r="E364" i="3" a="1"/>
  <c r="E364" i="3" s="1"/>
  <c r="E372" i="3" a="1"/>
  <c r="E372" i="3" s="1"/>
  <c r="E144" i="3" a="1"/>
  <c r="E144" i="3" s="1"/>
  <c r="E145" i="3" a="1"/>
  <c r="E145" i="3" s="1"/>
  <c r="E373" i="3" a="1"/>
  <c r="E373" i="3" s="1"/>
  <c r="E155" i="3" a="1"/>
  <c r="E155" i="3" s="1"/>
  <c r="BT122" i="4"/>
  <c r="CS252" i="2"/>
  <c r="DT69" i="2"/>
  <c r="DQ252" i="2"/>
  <c r="DV24" i="2"/>
  <c r="DT246" i="2"/>
  <c r="DV69" i="2"/>
  <c r="E371" i="3" a="1"/>
  <c r="E371" i="3" s="1"/>
  <c r="E153" i="3" a="1"/>
  <c r="E153" i="3" s="1"/>
  <c r="E15" i="3" a="1"/>
  <c r="E15" i="3" s="1"/>
  <c r="E369" i="3" a="1"/>
  <c r="E369" i="3" s="1"/>
  <c r="E150" i="3" a="1"/>
  <c r="E150" i="3" s="1"/>
  <c r="E367" i="3" a="1"/>
  <c r="E367" i="3" s="1"/>
  <c r="E148" i="3" a="1"/>
  <c r="E148" i="3" s="1"/>
  <c r="DS86" i="2"/>
  <c r="DS101" i="2" s="1"/>
  <c r="DT86" i="2"/>
  <c r="DT101" i="2" s="1"/>
  <c r="DU86" i="2"/>
  <c r="DT148" i="2"/>
  <c r="Q116" i="3" l="1"/>
  <c r="AI64" i="3" a="1"/>
  <c r="AI64" i="3" s="1"/>
  <c r="AI12" i="3" a="1"/>
  <c r="AI12" i="3" s="1"/>
  <c r="AI56" i="3" a="1"/>
  <c r="AI56" i="3" s="1"/>
  <c r="AN56" i="3" s="1"/>
  <c r="AI17" i="3" a="1"/>
  <c r="AI17" i="3" s="1"/>
  <c r="AI41" i="3" a="1"/>
  <c r="AI41" i="3" s="1"/>
  <c r="AN41" i="3" s="1"/>
  <c r="AI9" i="3" a="1"/>
  <c r="AI9" i="3" s="1"/>
  <c r="AI6" i="3" a="1"/>
  <c r="AI6" i="3" s="1"/>
  <c r="AI101" i="2"/>
  <c r="AI403" i="3"/>
  <c r="H403" i="3"/>
  <c r="E403" i="3"/>
  <c r="M403" i="3"/>
  <c r="M375" i="3"/>
  <c r="AI375" i="3"/>
  <c r="M7" i="3"/>
  <c r="AH7" i="3"/>
  <c r="AH19" i="3"/>
  <c r="M19" i="3"/>
  <c r="AM252" i="2"/>
  <c r="M154" i="3"/>
  <c r="M156" i="3" s="1"/>
  <c r="M87" i="3"/>
  <c r="CE248" i="2"/>
  <c r="CB248" i="2"/>
  <c r="CB252" i="2" s="1"/>
  <c r="CC248" i="2"/>
  <c r="CC252" i="2" s="1"/>
  <c r="CD248" i="2"/>
  <c r="H13" i="3" a="1"/>
  <c r="H13" i="3" s="1"/>
  <c r="H17" i="3" a="1"/>
  <c r="H17" i="3" s="1"/>
  <c r="H6" i="3" a="1"/>
  <c r="H6" i="3" s="1"/>
  <c r="DS252" i="2"/>
  <c r="H78" i="3" a="1"/>
  <c r="H78" i="3" s="1"/>
  <c r="AM78" i="3" s="1"/>
  <c r="AO161" i="3"/>
  <c r="AO285" i="3"/>
  <c r="AS15" i="3"/>
  <c r="AP165" i="3"/>
  <c r="AO175" i="3"/>
  <c r="AP175" i="3"/>
  <c r="AO165" i="3"/>
  <c r="AP202" i="3"/>
  <c r="AO96" i="3"/>
  <c r="AO202" i="3"/>
  <c r="AP171" i="3"/>
  <c r="AV7" i="3"/>
  <c r="AO100" i="3"/>
  <c r="AP7" i="3"/>
  <c r="AP296" i="3"/>
  <c r="AO110" i="3"/>
  <c r="AO354" i="3"/>
  <c r="AO328" i="3" s="1"/>
  <c r="AO326" i="3" s="1"/>
  <c r="AO385" i="3"/>
  <c r="AP19" i="3"/>
  <c r="AP213" i="3"/>
  <c r="AP198" i="3" s="1"/>
  <c r="AO171" i="3"/>
  <c r="AO106" i="3"/>
  <c r="AP385" i="3"/>
  <c r="AO213" i="3"/>
  <c r="AO154" i="3"/>
  <c r="AO156" i="3" s="1"/>
  <c r="AP375" i="3"/>
  <c r="AP271" i="3"/>
  <c r="AP245" i="3" s="1"/>
  <c r="AP243" i="3" s="1"/>
  <c r="AO302" i="3"/>
  <c r="AP285" i="3"/>
  <c r="AP219" i="3"/>
  <c r="AO219" i="3"/>
  <c r="AO296" i="3"/>
  <c r="AP154" i="3"/>
  <c r="AP156" i="3" s="1"/>
  <c r="AP302" i="3"/>
  <c r="AP354" i="3"/>
  <c r="AP328" i="3" s="1"/>
  <c r="AP326" i="3" s="1"/>
  <c r="AO271" i="3"/>
  <c r="AO245" i="3" s="1"/>
  <c r="AO243" i="3" s="1"/>
  <c r="AO375" i="3"/>
  <c r="AO376" i="3" s="1"/>
  <c r="AP161" i="3"/>
  <c r="AR154" i="3"/>
  <c r="AR156" i="3" s="1"/>
  <c r="AR376" i="3" s="1"/>
  <c r="AO19" i="3"/>
  <c r="AO21" i="3" s="1"/>
  <c r="AO184" i="3" s="1" a="1"/>
  <c r="AO184" i="3" s="1"/>
  <c r="AI8" i="3" a="1"/>
  <c r="AI8" i="3" s="1"/>
  <c r="AI15" i="3" a="1"/>
  <c r="AI15" i="3" s="1"/>
  <c r="AI144" i="3" a="1"/>
  <c r="AI144" i="3" s="1"/>
  <c r="H81" i="3" a="1"/>
  <c r="H81" i="3" s="1"/>
  <c r="AM81" i="3" s="1"/>
  <c r="H66" i="3" a="1"/>
  <c r="H66" i="3" s="1"/>
  <c r="AM66" i="3" s="1"/>
  <c r="AI66" i="3" a="1"/>
  <c r="AI66" i="3" s="1"/>
  <c r="AI72" i="3" a="1"/>
  <c r="AI72" i="3" s="1"/>
  <c r="H64" i="3" a="1"/>
  <c r="H64" i="3" s="1"/>
  <c r="H72" i="3" a="1"/>
  <c r="H72" i="3" s="1"/>
  <c r="AP96" i="3"/>
  <c r="H47" i="3" a="1"/>
  <c r="H47" i="3" s="1"/>
  <c r="AM47" i="3" s="1"/>
  <c r="H70" i="3" a="1"/>
  <c r="H70" i="3" s="1"/>
  <c r="AM70" i="3" s="1"/>
  <c r="S105" i="3" a="1"/>
  <c r="S105" i="3" s="1"/>
  <c r="T105" i="3" a="1"/>
  <c r="T105" i="3" s="1"/>
  <c r="H105" i="3" a="1"/>
  <c r="H105" i="3" s="1"/>
  <c r="AD105" i="3" a="1"/>
  <c r="AD105" i="3" s="1"/>
  <c r="AG105" i="3" a="1"/>
  <c r="AG105" i="3" s="1"/>
  <c r="H111" i="3" a="1"/>
  <c r="H111" i="3" s="1"/>
  <c r="H113" i="3" a="1"/>
  <c r="H113" i="3" s="1"/>
  <c r="H98" i="3" a="1"/>
  <c r="H98" i="3" s="1"/>
  <c r="AM98" i="3" s="1"/>
  <c r="AJ105" i="3" a="1"/>
  <c r="AJ105" i="3" s="1"/>
  <c r="AJ100" i="3" s="1"/>
  <c r="AJ116" i="3" s="1"/>
  <c r="W105" i="3" a="1"/>
  <c r="W105" i="3" s="1"/>
  <c r="H99" i="3" a="1"/>
  <c r="H99" i="3" s="1"/>
  <c r="AM99" i="3" s="1"/>
  <c r="X105" i="3" a="1"/>
  <c r="X105" i="3" s="1"/>
  <c r="AI14" i="3" a="1"/>
  <c r="AI14" i="3" s="1"/>
  <c r="AI5" i="3" a="1"/>
  <c r="AI5" i="3" s="1"/>
  <c r="AI147" i="3" a="1"/>
  <c r="AI147" i="3" s="1"/>
  <c r="AI153" i="3" a="1"/>
  <c r="AI153" i="3" s="1"/>
  <c r="AI112" i="3" a="1"/>
  <c r="AI112" i="3" s="1"/>
  <c r="AI104" i="3" a="1"/>
  <c r="AI104" i="3" s="1"/>
  <c r="AI102" i="3" a="1"/>
  <c r="AI102" i="3" s="1"/>
  <c r="AI101" i="3" a="1"/>
  <c r="AI101" i="3" s="1"/>
  <c r="AP110" i="3"/>
  <c r="AI103" i="3" a="1"/>
  <c r="AI103" i="3" s="1"/>
  <c r="AB105" i="3" a="1"/>
  <c r="AB105" i="3" s="1"/>
  <c r="AC105" i="3" a="1"/>
  <c r="AC105" i="3" s="1"/>
  <c r="H108" i="3" a="1"/>
  <c r="H108" i="3" s="1"/>
  <c r="AM108" i="3" s="1"/>
  <c r="H114" i="3" a="1"/>
  <c r="H114" i="3" s="1"/>
  <c r="AM114" i="3" s="1"/>
  <c r="V105" i="3" a="1"/>
  <c r="V105" i="3" s="1"/>
  <c r="AI111" i="3" a="1"/>
  <c r="AI111" i="3" s="1"/>
  <c r="H101" i="3" a="1"/>
  <c r="H101" i="3" s="1"/>
  <c r="AM101" i="3" s="1"/>
  <c r="AA105" i="3" a="1"/>
  <c r="AA105" i="3" s="1"/>
  <c r="AI108" i="3" a="1"/>
  <c r="AI108" i="3" s="1"/>
  <c r="AI107" i="3" a="1"/>
  <c r="AI107" i="3" s="1"/>
  <c r="AI115" i="3" a="1"/>
  <c r="AI115" i="3" s="1"/>
  <c r="AP106" i="3"/>
  <c r="H107" i="3" a="1"/>
  <c r="H107" i="3" s="1"/>
  <c r="AM107" i="3" s="1"/>
  <c r="AI105" i="3" a="1"/>
  <c r="AI105" i="3" s="1"/>
  <c r="W106" i="3"/>
  <c r="AF105" i="3" a="1"/>
  <c r="AF105" i="3" s="1"/>
  <c r="AA96" i="3"/>
  <c r="H97" i="3" a="1"/>
  <c r="H97" i="3" s="1"/>
  <c r="AM97" i="3" s="1"/>
  <c r="H103" i="3" a="1"/>
  <c r="H103" i="3" s="1"/>
  <c r="AM103" i="3" s="1"/>
  <c r="AD110" i="3"/>
  <c r="AG106" i="3"/>
  <c r="Z105" i="3" a="1"/>
  <c r="Z105" i="3" s="1"/>
  <c r="J100" i="3"/>
  <c r="J116" i="3" s="1"/>
  <c r="U96" i="3"/>
  <c r="Y105" i="3" a="1"/>
  <c r="Y105" i="3" s="1"/>
  <c r="AI99" i="3" a="1"/>
  <c r="AI99" i="3" s="1"/>
  <c r="H115" i="3" a="1"/>
  <c r="H115" i="3" s="1"/>
  <c r="AM115" i="3" s="1"/>
  <c r="K100" i="3"/>
  <c r="K116" i="3" s="1"/>
  <c r="H104" i="3" a="1"/>
  <c r="H104" i="3" s="1"/>
  <c r="AM104" i="3" s="1"/>
  <c r="AH106" i="3"/>
  <c r="AH96" i="3"/>
  <c r="AH110" i="3"/>
  <c r="AI109" i="3" a="1"/>
  <c r="AI109" i="3" s="1"/>
  <c r="AP100" i="3"/>
  <c r="AI97" i="3" a="1"/>
  <c r="AI97" i="3" s="1"/>
  <c r="AI114" i="3" a="1"/>
  <c r="AI114" i="3" s="1"/>
  <c r="U105" i="3" a="1"/>
  <c r="U105" i="3" s="1"/>
  <c r="AE105" i="3" a="1"/>
  <c r="AE105" i="3" s="1"/>
  <c r="H102" i="3" a="1"/>
  <c r="H102" i="3" s="1"/>
  <c r="H112" i="3" a="1"/>
  <c r="H112" i="3" s="1"/>
  <c r="AH105" i="3" a="1"/>
  <c r="AH105" i="3" s="1"/>
  <c r="R105" i="3" a="1"/>
  <c r="R105" i="3" s="1"/>
  <c r="AI98" i="3" a="1"/>
  <c r="AI98" i="3" s="1"/>
  <c r="H109" i="3" a="1"/>
  <c r="H109" i="3" s="1"/>
  <c r="AI113" i="3" a="1"/>
  <c r="AI113" i="3" s="1"/>
  <c r="AI58" i="3" a="1"/>
  <c r="AI58" i="3" s="1"/>
  <c r="AI76" i="3" a="1"/>
  <c r="AI76" i="3" s="1"/>
  <c r="AI43" i="3" a="1"/>
  <c r="AI43" i="3" s="1"/>
  <c r="AI69" i="3" a="1"/>
  <c r="AI69" i="3" s="1"/>
  <c r="AI47" i="3" a="1"/>
  <c r="AI47" i="3" s="1"/>
  <c r="AI81" i="3" a="1"/>
  <c r="AI81" i="3" s="1"/>
  <c r="AI35" i="3" a="1"/>
  <c r="AI35" i="3" s="1"/>
  <c r="AI61" i="3" a="1"/>
  <c r="AI61" i="3" s="1"/>
  <c r="AI25" i="3" a="1"/>
  <c r="AI25" i="3" s="1"/>
  <c r="AI49" i="3" a="1"/>
  <c r="AI49" i="3" s="1"/>
  <c r="AI65" i="3" a="1"/>
  <c r="AI65" i="3" s="1"/>
  <c r="AI51" i="3" a="1"/>
  <c r="AI51" i="3" s="1"/>
  <c r="H80" i="3" a="1"/>
  <c r="H80" i="3" s="1"/>
  <c r="AI28" i="3" a="1"/>
  <c r="AI28" i="3" s="1"/>
  <c r="AI53" i="3" a="1"/>
  <c r="AI53" i="3" s="1"/>
  <c r="AI75" i="3" a="1"/>
  <c r="AI75" i="3" s="1"/>
  <c r="AI36" i="3" a="1"/>
  <c r="AI36" i="3" s="1"/>
  <c r="AI62" i="3" a="1"/>
  <c r="AI62" i="3" s="1"/>
  <c r="AI39" i="3" a="1"/>
  <c r="AI39" i="3" s="1"/>
  <c r="AI78" i="3" a="1"/>
  <c r="AI78" i="3" s="1"/>
  <c r="H39" i="3" a="1"/>
  <c r="H39" i="3" s="1"/>
  <c r="AI42" i="3" a="1"/>
  <c r="AI42" i="3" s="1"/>
  <c r="AI68" i="3" a="1"/>
  <c r="AI68" i="3" s="1"/>
  <c r="AI29" i="3" a="1"/>
  <c r="AI29" i="3" s="1"/>
  <c r="AI54" i="3" a="1"/>
  <c r="AI54" i="3" s="1"/>
  <c r="AI83" i="3" a="1"/>
  <c r="AI83" i="3" s="1"/>
  <c r="AI30" i="3" a="1"/>
  <c r="AI30" i="3" s="1"/>
  <c r="AI59" i="3" a="1"/>
  <c r="AI59" i="3" s="1"/>
  <c r="AI34" i="3" a="1"/>
  <c r="AI34" i="3" s="1"/>
  <c r="H30" i="3" a="1"/>
  <c r="H30" i="3" s="1"/>
  <c r="H44" i="3" a="1"/>
  <c r="H44" i="3" s="1"/>
  <c r="AM44" i="3" s="1"/>
  <c r="H59" i="3" a="1"/>
  <c r="H59" i="3" s="1"/>
  <c r="H82" i="3" a="1"/>
  <c r="H82" i="3" s="1"/>
  <c r="AM82" i="3" s="1"/>
  <c r="H65" i="3" a="1"/>
  <c r="H65" i="3" s="1"/>
  <c r="AM65" i="3" s="1"/>
  <c r="H52" i="3" a="1"/>
  <c r="H52" i="3" s="1"/>
  <c r="H28" i="3" a="1"/>
  <c r="H28" i="3" s="1"/>
  <c r="H84" i="3" a="1"/>
  <c r="H84" i="3" s="1"/>
  <c r="AM84" i="3" s="1"/>
  <c r="H67" i="3" a="1"/>
  <c r="H67" i="3" s="1"/>
  <c r="H76" i="3" a="1"/>
  <c r="H76" i="3" s="1"/>
  <c r="H48" i="3" a="1"/>
  <c r="H48" i="3" s="1"/>
  <c r="AM48" i="3" s="1"/>
  <c r="H60" i="3" a="1"/>
  <c r="H60" i="3" s="1"/>
  <c r="H32" i="3" a="1"/>
  <c r="H32" i="3" s="1"/>
  <c r="AM32" i="3" s="1"/>
  <c r="H62" i="3" a="1"/>
  <c r="H62" i="3" s="1"/>
  <c r="H36" i="3" a="1"/>
  <c r="H36" i="3" s="1"/>
  <c r="AM36" i="3" s="1"/>
  <c r="H38" i="3" a="1"/>
  <c r="H38" i="3" s="1"/>
  <c r="H85" i="3" a="1"/>
  <c r="H85" i="3" s="1"/>
  <c r="H61" i="3" a="1"/>
  <c r="H61" i="3" s="1"/>
  <c r="H46" i="3" a="1"/>
  <c r="H46" i="3" s="1"/>
  <c r="H27" i="3" a="1"/>
  <c r="H27" i="3" s="1"/>
  <c r="AM27" i="3" s="1"/>
  <c r="H74" i="3" a="1"/>
  <c r="H74" i="3" s="1"/>
  <c r="H68" i="3" a="1"/>
  <c r="H68" i="3" s="1"/>
  <c r="H43" i="3" a="1"/>
  <c r="H43" i="3" s="1"/>
  <c r="AM43" i="3" s="1"/>
  <c r="H224" i="3" a="1"/>
  <c r="H224" i="3" s="1"/>
  <c r="H305" i="3" a="1"/>
  <c r="H305" i="3" s="1"/>
  <c r="H163" i="3" a="1"/>
  <c r="H163" i="3" s="1"/>
  <c r="H146" i="3" a="1"/>
  <c r="H146" i="3" s="1"/>
  <c r="H297" i="3" a="1"/>
  <c r="H297" i="3" s="1"/>
  <c r="H380" i="3" a="1"/>
  <c r="H380" i="3" s="1"/>
  <c r="H228" i="3" a="1"/>
  <c r="H228" i="3" s="1"/>
  <c r="H308" i="3" a="1"/>
  <c r="H308" i="3" s="1"/>
  <c r="H274" i="3" a="1"/>
  <c r="H274" i="3" s="1"/>
  <c r="H292" i="3" a="1"/>
  <c r="H292" i="3" s="1"/>
  <c r="H289" i="3" s="1"/>
  <c r="H372" i="3" a="1"/>
  <c r="H372" i="3" s="1"/>
  <c r="H272" i="3" a="1"/>
  <c r="H272" i="3" s="1"/>
  <c r="H381" i="3" a="1"/>
  <c r="H381" i="3" s="1"/>
  <c r="H148" i="3" a="1"/>
  <c r="H148" i="3" s="1"/>
  <c r="H168" i="3" a="1"/>
  <c r="H168" i="3" s="1"/>
  <c r="H16" i="3" a="1"/>
  <c r="H16" i="3" s="1"/>
  <c r="H215" i="3" a="1"/>
  <c r="H215" i="3" s="1"/>
  <c r="H211" i="3" a="1"/>
  <c r="H211" i="3" s="1"/>
  <c r="H210" i="3" s="1"/>
  <c r="H329" i="3" a="1"/>
  <c r="H329" i="3" s="1"/>
  <c r="H314" i="3" a="1"/>
  <c r="H314" i="3" s="1"/>
  <c r="H373" i="3" a="1"/>
  <c r="H373" i="3" s="1"/>
  <c r="H327" i="3" a="1"/>
  <c r="H327" i="3" s="1"/>
  <c r="H155" i="3" a="1"/>
  <c r="H155" i="3" s="1"/>
  <c r="H367" i="3" a="1"/>
  <c r="H367" i="3" s="1"/>
  <c r="H363" i="3" a="1"/>
  <c r="H363" i="3" s="1"/>
  <c r="H10" i="3" a="1"/>
  <c r="H10" i="3" s="1"/>
  <c r="H162" i="3" a="1"/>
  <c r="H162" i="3" s="1"/>
  <c r="H164" i="3" a="1"/>
  <c r="H164" i="3" s="1"/>
  <c r="H294" i="3" a="1"/>
  <c r="H294" i="3" s="1"/>
  <c r="H293" i="3" s="1"/>
  <c r="H14" i="3" a="1"/>
  <c r="H14" i="3" s="1"/>
  <c r="H304" i="3" a="1"/>
  <c r="H304" i="3" s="1"/>
  <c r="H221" i="3" a="1"/>
  <c r="H221" i="3" s="1"/>
  <c r="H179" i="3" a="1"/>
  <c r="H179" i="3" s="1"/>
  <c r="H18" i="3" a="1"/>
  <c r="H18" i="3" s="1"/>
  <c r="H209" i="3" a="1"/>
  <c r="H209" i="3" s="1"/>
  <c r="H206" i="3" s="1"/>
  <c r="H300" i="3" a="1"/>
  <c r="H300" i="3" s="1"/>
  <c r="H288" i="3" a="1"/>
  <c r="H288" i="3" s="1"/>
  <c r="H368" i="3" a="1"/>
  <c r="H368" i="3" s="1"/>
  <c r="H250" i="3" a="1"/>
  <c r="H250" i="3" s="1"/>
  <c r="H205" i="3" a="1"/>
  <c r="H205" i="3" s="1"/>
  <c r="H169" i="3" a="1"/>
  <c r="H169" i="3" s="1"/>
  <c r="H334" i="3" a="1"/>
  <c r="H334" i="3" s="1"/>
  <c r="H167" i="3" a="1"/>
  <c r="H167" i="3" s="1"/>
  <c r="H217" i="3" a="1"/>
  <c r="H217" i="3" s="1"/>
  <c r="H222" i="3" a="1"/>
  <c r="H222" i="3" s="1"/>
  <c r="H11" i="3" a="1"/>
  <c r="H11" i="3" s="1"/>
  <c r="H323" i="3" a="1"/>
  <c r="H323" i="3" s="1"/>
  <c r="H322" i="3" s="1"/>
  <c r="H240" i="3" a="1"/>
  <c r="H240" i="3" s="1"/>
  <c r="H239" i="3" s="1"/>
  <c r="H172" i="3" a="1"/>
  <c r="H172" i="3" s="1"/>
  <c r="H333" i="3" a="1"/>
  <c r="H333" i="3" s="1"/>
  <c r="H170" i="3" a="1"/>
  <c r="H170" i="3" s="1"/>
  <c r="H244" i="3" a="1"/>
  <c r="H244" i="3" s="1"/>
  <c r="H200" i="3" a="1"/>
  <c r="H200" i="3" s="1"/>
  <c r="H199" i="3" s="1"/>
  <c r="H251" i="3" a="1"/>
  <c r="H251" i="3" s="1"/>
  <c r="H223" i="3" a="1"/>
  <c r="H223" i="3" s="1"/>
  <c r="H37" i="3" a="1"/>
  <c r="H37" i="3" s="1"/>
  <c r="AM37" i="3" s="1"/>
  <c r="H51" i="3" a="1"/>
  <c r="H51" i="3" s="1"/>
  <c r="H73" i="3" a="1"/>
  <c r="H73" i="3" s="1"/>
  <c r="AM73" i="3" s="1"/>
  <c r="H71" i="3" a="1"/>
  <c r="H71" i="3" s="1"/>
  <c r="AM71" i="3" s="1"/>
  <c r="H50" i="3" a="1"/>
  <c r="H50" i="3" s="1"/>
  <c r="AM50" i="3" s="1"/>
  <c r="H53" i="3" a="1"/>
  <c r="H53" i="3" s="1"/>
  <c r="H69" i="3" a="1"/>
  <c r="H69" i="3" s="1"/>
  <c r="AM69" i="3" s="1"/>
  <c r="H58" i="3" a="1"/>
  <c r="H58" i="3" s="1"/>
  <c r="AM58" i="3" s="1"/>
  <c r="H54" i="3" a="1"/>
  <c r="H54" i="3" s="1"/>
  <c r="AM54" i="3" s="1"/>
  <c r="H29" i="3" a="1"/>
  <c r="H29" i="3" s="1"/>
  <c r="H45" i="3" a="1"/>
  <c r="H45" i="3" s="1"/>
  <c r="H34" i="3" a="1"/>
  <c r="H34" i="3" s="1"/>
  <c r="H31" i="3" a="1"/>
  <c r="H31" i="3" s="1"/>
  <c r="H75" i="3" a="1"/>
  <c r="H75" i="3" s="1"/>
  <c r="H57" i="3" a="1"/>
  <c r="H57" i="3" s="1"/>
  <c r="H83" i="3" a="1"/>
  <c r="H83" i="3" s="1"/>
  <c r="H25" i="3" a="1"/>
  <c r="H25" i="3" s="1"/>
  <c r="H77" i="3" a="1"/>
  <c r="H77" i="3" s="1"/>
  <c r="AM77" i="3" s="1"/>
  <c r="H63" i="3" a="1"/>
  <c r="H63" i="3" s="1"/>
  <c r="AM63" i="3" s="1"/>
  <c r="H40" i="3" a="1"/>
  <c r="H40" i="3" s="1"/>
  <c r="AM40" i="3" s="1"/>
  <c r="H35" i="3" a="1"/>
  <c r="H35" i="3" s="1"/>
  <c r="H49" i="3" a="1"/>
  <c r="H49" i="3" s="1"/>
  <c r="H42" i="3" a="1"/>
  <c r="H42" i="3" s="1"/>
  <c r="H26" i="3" a="1"/>
  <c r="H26" i="3" s="1"/>
  <c r="H255" i="3" a="1"/>
  <c r="H255" i="3" s="1"/>
  <c r="H371" i="3" a="1"/>
  <c r="H371" i="3" s="1"/>
  <c r="H312" i="3" a="1"/>
  <c r="H312" i="3" s="1"/>
  <c r="H151" i="3" a="1"/>
  <c r="H151" i="3" s="1"/>
  <c r="H246" i="3" a="1"/>
  <c r="H246" i="3" s="1"/>
  <c r="H307" i="3" a="1"/>
  <c r="H307" i="3" s="1"/>
  <c r="H356" i="3" a="1"/>
  <c r="H356" i="3" s="1"/>
  <c r="H220" i="3" a="1"/>
  <c r="H220" i="3" s="1"/>
  <c r="H5" i="3" a="1"/>
  <c r="H5" i="3" s="1"/>
  <c r="H370" i="3" a="1"/>
  <c r="H370" i="3" s="1"/>
  <c r="H153" i="3" a="1"/>
  <c r="H153" i="3" s="1"/>
  <c r="H357" i="3" a="1"/>
  <c r="H357" i="3" s="1"/>
  <c r="H152" i="3" a="1"/>
  <c r="H152" i="3" s="1"/>
  <c r="H150" i="3" a="1"/>
  <c r="H150" i="3" s="1"/>
  <c r="H204" i="3" a="1"/>
  <c r="H204" i="3" s="1"/>
  <c r="H365" i="3" a="1"/>
  <c r="H365" i="3" s="1"/>
  <c r="H362" i="3" a="1"/>
  <c r="H362" i="3" s="1"/>
  <c r="H298" i="3" a="1"/>
  <c r="H298" i="3" s="1"/>
  <c r="H144" i="3" a="1"/>
  <c r="H144" i="3" s="1"/>
  <c r="H273" i="3" a="1"/>
  <c r="H273" i="3" s="1"/>
  <c r="H8" i="3" a="1"/>
  <c r="H8" i="3" s="1"/>
  <c r="H166" i="3" a="1"/>
  <c r="H166" i="3" s="1"/>
  <c r="H364" i="3" a="1"/>
  <c r="H364" i="3" s="1"/>
  <c r="H225" i="3" a="1"/>
  <c r="H225" i="3" s="1"/>
  <c r="H147" i="3" a="1"/>
  <c r="H147" i="3" s="1"/>
  <c r="H229" i="3" a="1"/>
  <c r="H229" i="3" s="1"/>
  <c r="H311" i="3" a="1"/>
  <c r="H311" i="3" s="1"/>
  <c r="H383" i="3" a="1"/>
  <c r="H383" i="3" s="1"/>
  <c r="H355" i="3" a="1"/>
  <c r="H355" i="3" s="1"/>
  <c r="H248" i="3" a="1"/>
  <c r="H248" i="3" s="1"/>
  <c r="H306" i="3" a="1"/>
  <c r="H306" i="3" s="1"/>
  <c r="H173" i="3" a="1"/>
  <c r="H173" i="3" s="1"/>
  <c r="H177" i="3" a="1"/>
  <c r="H177" i="3" s="1"/>
  <c r="H145" i="3" a="1"/>
  <c r="H145" i="3" s="1"/>
  <c r="H283" i="3" a="1"/>
  <c r="H283" i="3" s="1"/>
  <c r="H282" i="3" s="1"/>
  <c r="H178" i="3" a="1"/>
  <c r="H178" i="3" s="1"/>
  <c r="H338" i="3" a="1"/>
  <c r="H338" i="3" s="1"/>
  <c r="H287" i="3" a="1"/>
  <c r="H287" i="3" s="1"/>
  <c r="H285" i="3" s="1"/>
  <c r="H303" i="3" a="1"/>
  <c r="H303" i="3" s="1"/>
  <c r="H231" i="3" a="1"/>
  <c r="H231" i="3" s="1"/>
  <c r="H366" i="3" a="1"/>
  <c r="H366" i="3" s="1"/>
  <c r="H374" i="3" a="1"/>
  <c r="H374" i="3" s="1"/>
  <c r="H214" i="3" a="1"/>
  <c r="H214" i="3" s="1"/>
  <c r="H369" i="3" a="1"/>
  <c r="H369" i="3" s="1"/>
  <c r="H15" i="3" a="1"/>
  <c r="H15" i="3" s="1"/>
  <c r="H331" i="3" a="1"/>
  <c r="H331" i="3" s="1"/>
  <c r="H174" i="3" a="1"/>
  <c r="H174" i="3" s="1"/>
  <c r="H384" i="3" a="1"/>
  <c r="H384" i="3" s="1"/>
  <c r="H176" i="3" a="1"/>
  <c r="H176" i="3" s="1"/>
  <c r="H382" i="3" a="1"/>
  <c r="H382" i="3" s="1"/>
  <c r="H180" i="3" a="1"/>
  <c r="H180" i="3" s="1"/>
  <c r="H149" i="3" a="1"/>
  <c r="H149" i="3" s="1"/>
  <c r="AI45" i="3" a="1"/>
  <c r="AI45" i="3" s="1"/>
  <c r="AI71" i="3" a="1"/>
  <c r="AI71" i="3" s="1"/>
  <c r="AI32" i="3" a="1"/>
  <c r="AI32" i="3" s="1"/>
  <c r="AI57" i="3" a="1"/>
  <c r="AI57" i="3" s="1"/>
  <c r="AI85" i="3" a="1"/>
  <c r="AI85" i="3" s="1"/>
  <c r="AI33" i="3" a="1"/>
  <c r="AI33" i="3" s="1"/>
  <c r="AI70" i="3" a="1"/>
  <c r="AI70" i="3" s="1"/>
  <c r="AI26" i="3" a="1"/>
  <c r="AI26" i="3" s="1"/>
  <c r="AI50" i="3" a="1"/>
  <c r="AI50" i="3" s="1"/>
  <c r="AI77" i="3" a="1"/>
  <c r="AI77" i="3" s="1"/>
  <c r="AI38" i="3" a="1"/>
  <c r="AI38" i="3" s="1"/>
  <c r="AI60" i="3" a="1"/>
  <c r="AI60" i="3" s="1"/>
  <c r="AI37" i="3" a="1"/>
  <c r="AI37" i="3" s="1"/>
  <c r="AI73" i="3" a="1"/>
  <c r="AI73" i="3" s="1"/>
  <c r="AI80" i="3" a="1"/>
  <c r="AI80" i="3" s="1"/>
  <c r="AI40" i="3" a="1"/>
  <c r="AI40" i="3" s="1"/>
  <c r="AI63" i="3" a="1"/>
  <c r="AI63" i="3" s="1"/>
  <c r="AI27" i="3" a="1"/>
  <c r="AI27" i="3" s="1"/>
  <c r="AI52" i="3" a="1"/>
  <c r="AI52" i="3" s="1"/>
  <c r="AI74" i="3" a="1"/>
  <c r="AI74" i="3" s="1"/>
  <c r="AI55" i="3" a="1"/>
  <c r="AI55" i="3" s="1"/>
  <c r="AI79" i="3" a="1"/>
  <c r="AI79" i="3" s="1"/>
  <c r="H55" i="3" a="1"/>
  <c r="H55" i="3" s="1"/>
  <c r="H79" i="3" a="1"/>
  <c r="H79" i="3" s="1"/>
  <c r="AI31" i="3" a="1"/>
  <c r="AI31" i="3" s="1"/>
  <c r="AI48" i="3" a="1"/>
  <c r="AI48" i="3" s="1"/>
  <c r="AI84" i="3" a="1"/>
  <c r="AI84" i="3" s="1"/>
  <c r="AI46" i="3" a="1"/>
  <c r="AI46" i="3" s="1"/>
  <c r="AI67" i="3" a="1"/>
  <c r="AI67" i="3" s="1"/>
  <c r="AI44" i="3" a="1"/>
  <c r="AI44" i="3" s="1"/>
  <c r="AI82" i="3" a="1"/>
  <c r="AI82" i="3" s="1"/>
  <c r="H33" i="3" a="1"/>
  <c r="H33" i="3" s="1"/>
  <c r="AI16" i="3" a="1"/>
  <c r="AI16" i="3" s="1"/>
  <c r="AI11" i="3" a="1"/>
  <c r="AI11" i="3" s="1"/>
  <c r="AI18" i="3" a="1"/>
  <c r="AI18" i="3" s="1"/>
  <c r="AI10" i="3" a="1"/>
  <c r="AI10" i="3" s="1"/>
  <c r="AI151" i="3" a="1"/>
  <c r="AI151" i="3" s="1"/>
  <c r="AI152" i="3" a="1"/>
  <c r="AI152" i="3" s="1"/>
  <c r="DV101" i="2"/>
  <c r="AI150" i="3" a="1"/>
  <c r="AI150" i="3" s="1"/>
  <c r="AI145" i="3" a="1"/>
  <c r="AI145" i="3" s="1"/>
  <c r="AI149" i="3" a="1"/>
  <c r="AI149" i="3" s="1"/>
  <c r="AI148" i="3" a="1"/>
  <c r="AI148" i="3" s="1"/>
  <c r="AI146" i="3" a="1"/>
  <c r="AI146" i="3" s="1"/>
  <c r="AH154" i="3"/>
  <c r="E19" i="3"/>
  <c r="E21" i="3" s="1"/>
  <c r="DT252" i="2"/>
  <c r="E154" i="3"/>
  <c r="E156" i="3" s="1"/>
  <c r="E375" i="3"/>
  <c r="AG252" i="2"/>
  <c r="B144" i="3" s="1" a="1"/>
  <c r="B144" i="3" s="1"/>
  <c r="DU101" i="2"/>
  <c r="I61" i="3" l="1" a="1"/>
  <c r="I61" i="3" s="1"/>
  <c r="AL61" i="3" s="1"/>
  <c r="I118" i="3"/>
  <c r="I89" i="3" s="1"/>
  <c r="AN64" i="3"/>
  <c r="O7" i="3"/>
  <c r="O19" i="3"/>
  <c r="I16" i="3" a="1"/>
  <c r="I16" i="3" s="1"/>
  <c r="AM16" i="3" s="1"/>
  <c r="I398" i="3" a="1"/>
  <c r="I398" i="3" s="1"/>
  <c r="I399" i="3" a="1"/>
  <c r="I399" i="3" s="1"/>
  <c r="I397" i="3" a="1"/>
  <c r="I397" i="3" s="1"/>
  <c r="I390" i="3" a="1"/>
  <c r="I390" i="3" s="1"/>
  <c r="I402" i="3" a="1"/>
  <c r="I402" i="3" s="1"/>
  <c r="I394" i="3" a="1"/>
  <c r="I394" i="3" s="1"/>
  <c r="I393" i="3" a="1"/>
  <c r="I393" i="3" s="1"/>
  <c r="I391" i="3" a="1"/>
  <c r="I391" i="3" s="1"/>
  <c r="I396" i="3" a="1"/>
  <c r="I396" i="3" s="1"/>
  <c r="I395" i="3" a="1"/>
  <c r="I395" i="3" s="1"/>
  <c r="I401" i="3" a="1"/>
  <c r="I401" i="3" s="1"/>
  <c r="I400" i="3" a="1"/>
  <c r="I400" i="3" s="1"/>
  <c r="I392" i="3" a="1"/>
  <c r="I392" i="3" s="1"/>
  <c r="I26" i="3" a="1"/>
  <c r="I26" i="3" s="1"/>
  <c r="AL26" i="3" s="1"/>
  <c r="G398" i="3" a="1"/>
  <c r="G398" i="3" s="1"/>
  <c r="D400" i="3" a="1"/>
  <c r="D400" i="3" s="1"/>
  <c r="G399" i="3" a="1"/>
  <c r="G399" i="3" s="1"/>
  <c r="D401" i="3" a="1"/>
  <c r="D401" i="3" s="1"/>
  <c r="D390" i="3" a="1"/>
  <c r="D390" i="3" s="1"/>
  <c r="G396" i="3" a="1"/>
  <c r="G396" i="3" s="1"/>
  <c r="D398" i="3" a="1"/>
  <c r="D398" i="3" s="1"/>
  <c r="G401" i="3" a="1"/>
  <c r="G401" i="3" s="1"/>
  <c r="D391" i="3" a="1"/>
  <c r="D391" i="3" s="1"/>
  <c r="D394" i="3" a="1"/>
  <c r="D394" i="3" s="1"/>
  <c r="G402" i="3" a="1"/>
  <c r="G402" i="3" s="1"/>
  <c r="D393" i="3" a="1"/>
  <c r="D393" i="3" s="1"/>
  <c r="D396" i="3" a="1"/>
  <c r="D396" i="3" s="1"/>
  <c r="D395" i="3" a="1"/>
  <c r="D395" i="3" s="1"/>
  <c r="D397" i="3" a="1"/>
  <c r="D397" i="3" s="1"/>
  <c r="G400" i="3" a="1"/>
  <c r="G400" i="3" s="1"/>
  <c r="D402" i="3" a="1"/>
  <c r="D402" i="3" s="1"/>
  <c r="D392" i="3" a="1"/>
  <c r="D392" i="3" s="1"/>
  <c r="G397" i="3" a="1"/>
  <c r="G397" i="3" s="1"/>
  <c r="D399" i="3" a="1"/>
  <c r="D399" i="3" s="1"/>
  <c r="I40" i="3" a="1"/>
  <c r="I40" i="3" s="1"/>
  <c r="AK40" i="3" s="1"/>
  <c r="AN16" i="3"/>
  <c r="I15" i="3" a="1"/>
  <c r="I15" i="3" s="1"/>
  <c r="AM15" i="3" s="1"/>
  <c r="I10" i="3" a="1"/>
  <c r="I10" i="3" s="1"/>
  <c r="I59" i="3" a="1"/>
  <c r="I59" i="3" s="1"/>
  <c r="AL59" i="3" s="1"/>
  <c r="I44" i="3" a="1"/>
  <c r="I44" i="3" s="1"/>
  <c r="AL44" i="3" s="1"/>
  <c r="I30" i="3" a="1"/>
  <c r="I30" i="3" s="1"/>
  <c r="AK30" i="3" s="1"/>
  <c r="I53" i="3" a="1"/>
  <c r="I53" i="3" s="1"/>
  <c r="AL53" i="3" s="1"/>
  <c r="I73" i="3" a="1"/>
  <c r="I73" i="3" s="1"/>
  <c r="AL73" i="3" s="1"/>
  <c r="I72" i="3" a="1"/>
  <c r="I72" i="3" s="1"/>
  <c r="AK72" i="3" s="1"/>
  <c r="I76" i="3" a="1"/>
  <c r="I76" i="3" s="1"/>
  <c r="AK76" i="3" s="1"/>
  <c r="I43" i="3" a="1"/>
  <c r="I43" i="3" s="1"/>
  <c r="AL43" i="3" s="1"/>
  <c r="I69" i="3" a="1"/>
  <c r="I69" i="3" s="1"/>
  <c r="AK69" i="3" s="1"/>
  <c r="I27" i="3" a="1"/>
  <c r="I27" i="3" s="1"/>
  <c r="AL27" i="3" s="1"/>
  <c r="I77" i="3" a="1"/>
  <c r="I77" i="3" s="1"/>
  <c r="AL77" i="3" s="1"/>
  <c r="I67" i="3" a="1"/>
  <c r="I67" i="3" s="1"/>
  <c r="AL67" i="3" s="1"/>
  <c r="I49" i="3" a="1"/>
  <c r="I49" i="3" s="1"/>
  <c r="AK49" i="3" s="1"/>
  <c r="I33" i="3" a="1"/>
  <c r="I33" i="3" s="1"/>
  <c r="AL33" i="3" s="1"/>
  <c r="I45" i="3" a="1"/>
  <c r="I45" i="3" s="1"/>
  <c r="AK45" i="3" s="1"/>
  <c r="I31" i="3" a="1"/>
  <c r="I31" i="3" s="1"/>
  <c r="AL31" i="3" s="1"/>
  <c r="I81" i="3" a="1"/>
  <c r="I81" i="3" s="1"/>
  <c r="AL81" i="3" s="1"/>
  <c r="I62" i="3" a="1"/>
  <c r="I62" i="3" s="1"/>
  <c r="AK62" i="3" s="1"/>
  <c r="I37" i="3" a="1"/>
  <c r="I37" i="3" s="1"/>
  <c r="AK37" i="3" s="1"/>
  <c r="I54" i="3" a="1"/>
  <c r="I54" i="3" s="1"/>
  <c r="AK54" i="3" s="1"/>
  <c r="I149" i="3" a="1"/>
  <c r="I149" i="3" s="1"/>
  <c r="AK149" i="3" s="1"/>
  <c r="I6" i="3" a="1"/>
  <c r="I6" i="3" s="1"/>
  <c r="AM6" i="3" s="1"/>
  <c r="I14" i="3" a="1"/>
  <c r="I14" i="3" s="1"/>
  <c r="AL14" i="3" s="1"/>
  <c r="I17" i="3" a="1"/>
  <c r="I17" i="3" s="1"/>
  <c r="AL17" i="3" s="1"/>
  <c r="I18" i="3" a="1"/>
  <c r="I18" i="3" s="1"/>
  <c r="AK18" i="3" s="1"/>
  <c r="I65" i="3" a="1"/>
  <c r="I65" i="3" s="1"/>
  <c r="AL65" i="3" s="1"/>
  <c r="I32" i="3" a="1"/>
  <c r="I32" i="3" s="1"/>
  <c r="AK32" i="3" s="1"/>
  <c r="I48" i="3" a="1"/>
  <c r="I48" i="3" s="1"/>
  <c r="AL48" i="3" s="1"/>
  <c r="I57" i="3" a="1"/>
  <c r="I57" i="3" s="1"/>
  <c r="AL57" i="3" s="1"/>
  <c r="I60" i="3" a="1"/>
  <c r="I60" i="3" s="1"/>
  <c r="AL60" i="3" s="1"/>
  <c r="I82" i="3" a="1"/>
  <c r="I82" i="3" s="1"/>
  <c r="AK82" i="3" s="1"/>
  <c r="I99" i="3" a="1"/>
  <c r="I99" i="3" s="1"/>
  <c r="AK99" i="3" s="1"/>
  <c r="I68" i="3" a="1"/>
  <c r="I68" i="3" s="1"/>
  <c r="AL68" i="3" s="1"/>
  <c r="I38" i="3" a="1"/>
  <c r="I38" i="3" s="1"/>
  <c r="AK38" i="3" s="1"/>
  <c r="I79" i="3" a="1"/>
  <c r="I79" i="3" s="1"/>
  <c r="AL79" i="3" s="1"/>
  <c r="I111" i="3" a="1"/>
  <c r="I111" i="3" s="1"/>
  <c r="AK111" i="3" s="1"/>
  <c r="I35" i="3" a="1"/>
  <c r="I35" i="3" s="1"/>
  <c r="AL35" i="3" s="1"/>
  <c r="I78" i="3" a="1"/>
  <c r="I78" i="3" s="1"/>
  <c r="AK78" i="3" s="1"/>
  <c r="I97" i="3" a="1"/>
  <c r="I97" i="3" s="1"/>
  <c r="AK97" i="3" s="1"/>
  <c r="I66" i="3" a="1"/>
  <c r="I66" i="3" s="1"/>
  <c r="AK66" i="3" s="1"/>
  <c r="I71" i="3" a="1"/>
  <c r="I71" i="3" s="1"/>
  <c r="AK71" i="3" s="1"/>
  <c r="I50" i="3" a="1"/>
  <c r="I50" i="3" s="1"/>
  <c r="AL50" i="3" s="1"/>
  <c r="I83" i="3" a="1"/>
  <c r="I83" i="3" s="1"/>
  <c r="AK83" i="3" s="1"/>
  <c r="I103" i="3" a="1"/>
  <c r="I103" i="3" s="1"/>
  <c r="AL103" i="3" s="1"/>
  <c r="I70" i="3" a="1"/>
  <c r="I70" i="3" s="1"/>
  <c r="AL70" i="3" s="1"/>
  <c r="I84" i="3" a="1"/>
  <c r="I84" i="3" s="1"/>
  <c r="AK84" i="3" s="1"/>
  <c r="I58" i="3" a="1"/>
  <c r="I58" i="3" s="1"/>
  <c r="AK58" i="3" s="1"/>
  <c r="I42" i="3" a="1"/>
  <c r="I42" i="3" s="1"/>
  <c r="AL42" i="3" s="1"/>
  <c r="I112" i="3" a="1"/>
  <c r="I112" i="3" s="1"/>
  <c r="AK112" i="3" s="1"/>
  <c r="I98" i="3" a="1"/>
  <c r="I98" i="3" s="1"/>
  <c r="AK98" i="3" s="1"/>
  <c r="I52" i="3" a="1"/>
  <c r="I52" i="3" s="1"/>
  <c r="AK52" i="3" s="1"/>
  <c r="I115" i="3" a="1"/>
  <c r="I115" i="3" s="1"/>
  <c r="AK115" i="3" s="1"/>
  <c r="I145" i="3" a="1"/>
  <c r="I145" i="3" s="1"/>
  <c r="AK145" i="3" s="1"/>
  <c r="I41" i="3" a="1"/>
  <c r="I41" i="3" s="1"/>
  <c r="AK41" i="3" s="1"/>
  <c r="I56" i="3" a="1"/>
  <c r="I56" i="3" s="1"/>
  <c r="AK56" i="3" s="1"/>
  <c r="I63" i="3" a="1"/>
  <c r="I63" i="3" s="1"/>
  <c r="AL63" i="3" s="1"/>
  <c r="I29" i="3" a="1"/>
  <c r="I29" i="3" s="1"/>
  <c r="AK29" i="3" s="1"/>
  <c r="I74" i="3" a="1"/>
  <c r="I74" i="3" s="1"/>
  <c r="AK74" i="3" s="1"/>
  <c r="I36" i="3" a="1"/>
  <c r="I36" i="3" s="1"/>
  <c r="AL36" i="3" s="1"/>
  <c r="I28" i="3" a="1"/>
  <c r="I28" i="3" s="1"/>
  <c r="AK28" i="3" s="1"/>
  <c r="I75" i="3" a="1"/>
  <c r="I75" i="3" s="1"/>
  <c r="AK75" i="3" s="1"/>
  <c r="I51" i="3" a="1"/>
  <c r="I51" i="3" s="1"/>
  <c r="AL51" i="3" s="1"/>
  <c r="I64" i="3" a="1"/>
  <c r="I64" i="3" s="1"/>
  <c r="AL64" i="3" s="1"/>
  <c r="I25" i="3" a="1"/>
  <c r="I25" i="3" s="1"/>
  <c r="AK25" i="3" s="1"/>
  <c r="I47" i="3" a="1"/>
  <c r="I47" i="3" s="1"/>
  <c r="AL47" i="3" s="1"/>
  <c r="I34" i="3" a="1"/>
  <c r="I34" i="3" s="1"/>
  <c r="AL34" i="3" s="1"/>
  <c r="I46" i="3" a="1"/>
  <c r="I46" i="3" s="1"/>
  <c r="AK46" i="3" s="1"/>
  <c r="I148" i="3" a="1"/>
  <c r="I148" i="3" s="1"/>
  <c r="AK148" i="3" s="1"/>
  <c r="I146" i="3" a="1"/>
  <c r="I146" i="3" s="1"/>
  <c r="AK146" i="3" s="1"/>
  <c r="I150" i="3" a="1"/>
  <c r="I150" i="3" s="1"/>
  <c r="AK150" i="3" s="1"/>
  <c r="I152" i="3" a="1"/>
  <c r="I152" i="3" s="1"/>
  <c r="AK152" i="3" s="1"/>
  <c r="AK61" i="3"/>
  <c r="I373" i="3" a="1"/>
  <c r="I373" i="3" s="1"/>
  <c r="AN373" i="3" s="1"/>
  <c r="I367" i="3" a="1"/>
  <c r="I367" i="3" s="1"/>
  <c r="AN367" i="3" s="1"/>
  <c r="I372" i="3" a="1"/>
  <c r="I372" i="3" s="1"/>
  <c r="AN372" i="3" s="1"/>
  <c r="I362" i="3" a="1"/>
  <c r="I362" i="3" s="1"/>
  <c r="AL362" i="3" s="1"/>
  <c r="I369" i="3" a="1"/>
  <c r="I369" i="3" s="1"/>
  <c r="AK369" i="3" s="1"/>
  <c r="I368" i="3" a="1"/>
  <c r="I368" i="3" s="1"/>
  <c r="AM368" i="3" s="1"/>
  <c r="I374" i="3" a="1"/>
  <c r="I374" i="3" s="1"/>
  <c r="I363" i="3" a="1"/>
  <c r="I363" i="3" s="1"/>
  <c r="AI7" i="3"/>
  <c r="I370" i="3" a="1"/>
  <c r="I370" i="3" s="1"/>
  <c r="I366" i="3" a="1"/>
  <c r="I366" i="3" s="1"/>
  <c r="AI19" i="3"/>
  <c r="I371" i="3" a="1"/>
  <c r="I371" i="3" s="1"/>
  <c r="I365" i="3" a="1"/>
  <c r="I365" i="3" s="1"/>
  <c r="I364" i="3" a="1"/>
  <c r="I364" i="3" s="1"/>
  <c r="I147" i="3" a="1"/>
  <c r="I147" i="3" s="1"/>
  <c r="AL147" i="3" s="1"/>
  <c r="I153" i="3" a="1"/>
  <c r="I153" i="3" s="1"/>
  <c r="AK153" i="3" s="1"/>
  <c r="AH156" i="3"/>
  <c r="I55" i="3" a="1"/>
  <c r="I55" i="3" s="1"/>
  <c r="I39" i="3" a="1"/>
  <c r="I39" i="3" s="1"/>
  <c r="I109" i="3" a="1"/>
  <c r="I109" i="3" s="1"/>
  <c r="I80" i="3" a="1"/>
  <c r="I80" i="3" s="1"/>
  <c r="I107" i="3" a="1"/>
  <c r="I107" i="3" s="1"/>
  <c r="I85" i="3" a="1"/>
  <c r="I85" i="3" s="1"/>
  <c r="I151" i="3" a="1"/>
  <c r="I151" i="3" s="1"/>
  <c r="AN151" i="3" s="1"/>
  <c r="I144" i="3" a="1"/>
  <c r="I144" i="3" s="1"/>
  <c r="I155" i="3" a="1"/>
  <c r="I155" i="3" s="1"/>
  <c r="M21" i="3"/>
  <c r="CD252" i="2"/>
  <c r="CE252" i="2"/>
  <c r="I9" i="3" a="1"/>
  <c r="I9" i="3" s="1"/>
  <c r="H7" i="3"/>
  <c r="AN78" i="3"/>
  <c r="AO281" i="3"/>
  <c r="AO352" i="3" s="1"/>
  <c r="AM113" i="3"/>
  <c r="AO198" i="3"/>
  <c r="AO269" i="3" s="1"/>
  <c r="AP281" i="3"/>
  <c r="AP352" i="3" s="1"/>
  <c r="AO181" i="3"/>
  <c r="AP181" i="3"/>
  <c r="AO116" i="3"/>
  <c r="AP21" i="3"/>
  <c r="AP185" i="3" s="1" a="1"/>
  <c r="AP185" i="3" s="1"/>
  <c r="Z96" i="3"/>
  <c r="AP376" i="3"/>
  <c r="AN47" i="3"/>
  <c r="AF106" i="3"/>
  <c r="Y96" i="3"/>
  <c r="X100" i="3"/>
  <c r="AM105" i="3"/>
  <c r="M96" i="3"/>
  <c r="AP269" i="3"/>
  <c r="T106" i="3"/>
  <c r="V110" i="3"/>
  <c r="T100" i="3"/>
  <c r="V96" i="3"/>
  <c r="AE106" i="3"/>
  <c r="AE96" i="3"/>
  <c r="R110" i="3"/>
  <c r="AN105" i="3"/>
  <c r="AN81" i="3"/>
  <c r="AN113" i="3"/>
  <c r="AN98" i="3"/>
  <c r="L100" i="3"/>
  <c r="AN70" i="3"/>
  <c r="H165" i="3"/>
  <c r="M110" i="3"/>
  <c r="AC96" i="3"/>
  <c r="AN108" i="3"/>
  <c r="AD100" i="3"/>
  <c r="U106" i="3"/>
  <c r="AC100" i="3"/>
  <c r="H202" i="3"/>
  <c r="Y106" i="3"/>
  <c r="V106" i="3"/>
  <c r="AF96" i="3"/>
  <c r="X106" i="3"/>
  <c r="AM72" i="3"/>
  <c r="AN72" i="3"/>
  <c r="AN66" i="3"/>
  <c r="AM64" i="3"/>
  <c r="AP116" i="3"/>
  <c r="AL105" i="3"/>
  <c r="AN82" i="3"/>
  <c r="AN76" i="3"/>
  <c r="AA100" i="3"/>
  <c r="S110" i="3"/>
  <c r="AB100" i="3"/>
  <c r="H110" i="3"/>
  <c r="AM110" i="3" s="1"/>
  <c r="U100" i="3"/>
  <c r="S96" i="3"/>
  <c r="AN73" i="3"/>
  <c r="AB110" i="3"/>
  <c r="AD106" i="3"/>
  <c r="AM76" i="3"/>
  <c r="AB96" i="3"/>
  <c r="R106" i="3"/>
  <c r="AB106" i="3"/>
  <c r="Y110" i="3"/>
  <c r="AN114" i="3"/>
  <c r="AM111" i="3"/>
  <c r="AN99" i="3"/>
  <c r="AA106" i="3"/>
  <c r="X110" i="3"/>
  <c r="L110" i="3"/>
  <c r="L106" i="3"/>
  <c r="AE110" i="3"/>
  <c r="L96" i="3"/>
  <c r="AN69" i="3"/>
  <c r="AN71" i="3"/>
  <c r="AN104" i="3"/>
  <c r="U110" i="3"/>
  <c r="AA110" i="3"/>
  <c r="AN102" i="3"/>
  <c r="AI96" i="3"/>
  <c r="AN97" i="3"/>
  <c r="AL115" i="3"/>
  <c r="AI106" i="3"/>
  <c r="AN107" i="3"/>
  <c r="AN101" i="3"/>
  <c r="H100" i="3"/>
  <c r="AM102" i="3"/>
  <c r="AH100" i="3"/>
  <c r="W110" i="3"/>
  <c r="AE100" i="3"/>
  <c r="T110" i="3"/>
  <c r="T96" i="3"/>
  <c r="AG96" i="3"/>
  <c r="AF100" i="3"/>
  <c r="M106" i="3"/>
  <c r="AG100" i="3"/>
  <c r="W96" i="3"/>
  <c r="V100" i="3"/>
  <c r="AF110" i="3"/>
  <c r="R96" i="3"/>
  <c r="AM109" i="3"/>
  <c r="H96" i="3"/>
  <c r="H106" i="3"/>
  <c r="AM106" i="3" s="1"/>
  <c r="AI110" i="3"/>
  <c r="AN111" i="3"/>
  <c r="AD96" i="3"/>
  <c r="Y100" i="3"/>
  <c r="R100" i="3"/>
  <c r="AM112" i="3"/>
  <c r="AN109" i="3"/>
  <c r="AC110" i="3"/>
  <c r="Z100" i="3"/>
  <c r="S100" i="3"/>
  <c r="AN115" i="3"/>
  <c r="AC106" i="3"/>
  <c r="Z110" i="3"/>
  <c r="X96" i="3"/>
  <c r="W100" i="3"/>
  <c r="AG110" i="3"/>
  <c r="S106" i="3"/>
  <c r="Z106" i="3"/>
  <c r="M100" i="3"/>
  <c r="AN103" i="3"/>
  <c r="AI100" i="3"/>
  <c r="AN112" i="3"/>
  <c r="AM83" i="3"/>
  <c r="AM62" i="3"/>
  <c r="AN80" i="3"/>
  <c r="AM49" i="3"/>
  <c r="AN62" i="3"/>
  <c r="AN37" i="3"/>
  <c r="AN44" i="3"/>
  <c r="H213" i="3"/>
  <c r="H302" i="3"/>
  <c r="H354" i="3"/>
  <c r="H328" i="3" s="1"/>
  <c r="H326" i="3" s="1"/>
  <c r="H175" i="3"/>
  <c r="AH87" i="3"/>
  <c r="H161" i="3"/>
  <c r="AU21" i="3"/>
  <c r="AU132" i="3" s="1"/>
  <c r="H154" i="3"/>
  <c r="H156" i="3" s="1"/>
  <c r="H375" i="3"/>
  <c r="AU7" i="3"/>
  <c r="H87" i="3"/>
  <c r="H92" i="3" s="1"/>
  <c r="AM25" i="3"/>
  <c r="AM31" i="3"/>
  <c r="AN380" i="3"/>
  <c r="AM380" i="3"/>
  <c r="H385" i="3"/>
  <c r="AM28" i="3"/>
  <c r="AI87" i="3"/>
  <c r="AN25" i="3"/>
  <c r="AN79" i="3"/>
  <c r="AM79" i="3"/>
  <c r="AN33" i="3"/>
  <c r="H19" i="3"/>
  <c r="H271" i="3"/>
  <c r="H245" i="3" s="1"/>
  <c r="H243" i="3" s="1"/>
  <c r="AM30" i="3"/>
  <c r="AN30" i="3"/>
  <c r="AN83" i="3"/>
  <c r="AM75" i="3"/>
  <c r="AM46" i="3"/>
  <c r="AM61" i="3"/>
  <c r="AM74" i="3"/>
  <c r="AM80" i="3"/>
  <c r="AM38" i="3"/>
  <c r="AM42" i="3"/>
  <c r="AN58" i="3"/>
  <c r="AM57" i="3"/>
  <c r="AN382" i="3"/>
  <c r="AM382" i="3"/>
  <c r="AN384" i="3"/>
  <c r="AM384" i="3"/>
  <c r="AN383" i="3"/>
  <c r="AM383" i="3"/>
  <c r="AM26" i="3"/>
  <c r="AM34" i="3"/>
  <c r="AM29" i="3"/>
  <c r="AN381" i="3"/>
  <c r="AM381" i="3"/>
  <c r="AM33" i="3"/>
  <c r="AN55" i="3"/>
  <c r="AM55" i="3"/>
  <c r="H219" i="3"/>
  <c r="H171" i="3"/>
  <c r="H296" i="3"/>
  <c r="H281" i="3" s="1"/>
  <c r="AN59" i="3"/>
  <c r="AM59" i="3"/>
  <c r="AM53" i="3"/>
  <c r="AM67" i="3"/>
  <c r="AN39" i="3"/>
  <c r="AM39" i="3"/>
  <c r="AM35" i="3"/>
  <c r="AM52" i="3"/>
  <c r="AN51" i="3"/>
  <c r="AM51" i="3"/>
  <c r="AM45" i="3"/>
  <c r="AM60" i="3"/>
  <c r="AM68" i="3"/>
  <c r="AM85" i="3"/>
  <c r="AN65" i="3"/>
  <c r="AN53" i="3"/>
  <c r="D38" i="3" a="1"/>
  <c r="D38" i="3" s="1"/>
  <c r="D32" i="3" a="1"/>
  <c r="D32" i="3" s="1"/>
  <c r="C36" i="3" a="1"/>
  <c r="C36" i="3" s="1"/>
  <c r="C69" i="3" a="1"/>
  <c r="C69" i="3" s="1"/>
  <c r="AN26" i="3"/>
  <c r="B61" i="3" a="1"/>
  <c r="B61" i="3" s="1"/>
  <c r="G86" i="3" a="1"/>
  <c r="G86" i="3" s="1"/>
  <c r="D43" i="3" a="1"/>
  <c r="D43" i="3" s="1"/>
  <c r="D27" i="3" a="1"/>
  <c r="D27" i="3" s="1"/>
  <c r="AN52" i="3"/>
  <c r="B74" i="3" a="1"/>
  <c r="B74" i="3" s="1"/>
  <c r="B45" i="3" a="1"/>
  <c r="B45" i="3" s="1"/>
  <c r="D83" i="3" a="1"/>
  <c r="D83" i="3" s="1"/>
  <c r="B52" i="3" a="1"/>
  <c r="B52" i="3" s="1"/>
  <c r="D85" i="3" a="1"/>
  <c r="D85" i="3" s="1"/>
  <c r="AN38" i="3"/>
  <c r="D58" i="3" a="1"/>
  <c r="D58" i="3" s="1"/>
  <c r="B35" i="3" a="1"/>
  <c r="B35" i="3" s="1"/>
  <c r="B43" i="3" a="1"/>
  <c r="B43" i="3" s="1"/>
  <c r="B46" i="3" a="1"/>
  <c r="B46" i="3" s="1"/>
  <c r="AN77" i="3"/>
  <c r="AN43" i="3"/>
  <c r="D87" i="3" a="1"/>
  <c r="D87" i="3" s="1"/>
  <c r="C85" i="3" a="1"/>
  <c r="C85" i="3" s="1"/>
  <c r="D54" i="3" a="1"/>
  <c r="D54" i="3" s="1"/>
  <c r="B63" i="3" a="1"/>
  <c r="B63" i="3" s="1"/>
  <c r="B85" i="3" a="1"/>
  <c r="B85" i="3" s="1"/>
  <c r="C57" i="3" a="1"/>
  <c r="C57" i="3" s="1"/>
  <c r="AN32" i="3"/>
  <c r="D28" i="3" a="1"/>
  <c r="D28" i="3" s="1"/>
  <c r="D49" i="3" a="1"/>
  <c r="D49" i="3" s="1"/>
  <c r="C28" i="3" a="1"/>
  <c r="C28" i="3" s="1"/>
  <c r="G77" i="3" a="1"/>
  <c r="G77" i="3" s="1"/>
  <c r="G42" i="3" a="1"/>
  <c r="G42" i="3" s="1"/>
  <c r="D42" i="3" a="1"/>
  <c r="D42" i="3" s="1"/>
  <c r="B67" i="3" a="1"/>
  <c r="B67" i="3" s="1"/>
  <c r="D25" i="3" a="1"/>
  <c r="D25" i="3" s="1"/>
  <c r="B75" i="3" a="1"/>
  <c r="B75" i="3" s="1"/>
  <c r="B78" i="3" a="1"/>
  <c r="B78" i="3" s="1"/>
  <c r="B69" i="3" a="1"/>
  <c r="B69" i="3" s="1"/>
  <c r="D63" i="3" a="1"/>
  <c r="D63" i="3" s="1"/>
  <c r="D31" i="3" a="1"/>
  <c r="D31" i="3" s="1"/>
  <c r="C42" i="3" a="1"/>
  <c r="C42" i="3" s="1"/>
  <c r="D57" i="3" a="1"/>
  <c r="D57" i="3" s="1"/>
  <c r="D67" i="3" a="1"/>
  <c r="D67" i="3" s="1"/>
  <c r="D71" i="3" a="1"/>
  <c r="D71" i="3" s="1"/>
  <c r="AN49" i="3"/>
  <c r="C46" i="3" a="1"/>
  <c r="C46" i="3" s="1"/>
  <c r="B71" i="3" a="1"/>
  <c r="B71" i="3" s="1"/>
  <c r="B29" i="3" a="1"/>
  <c r="B29" i="3" s="1"/>
  <c r="D61" i="3" a="1"/>
  <c r="D61" i="3" s="1"/>
  <c r="AN54" i="3"/>
  <c r="B32" i="3" a="1"/>
  <c r="B32" i="3" s="1"/>
  <c r="AN29" i="3"/>
  <c r="B36" i="3" a="1"/>
  <c r="B36" i="3" s="1"/>
  <c r="D65" i="3" a="1"/>
  <c r="D65" i="3" s="1"/>
  <c r="B49" i="3" a="1"/>
  <c r="B49" i="3" s="1"/>
  <c r="D29" i="3" a="1"/>
  <c r="D29" i="3" s="1"/>
  <c r="G26" i="3" a="1"/>
  <c r="G26" i="3" s="1"/>
  <c r="C61" i="3" a="1"/>
  <c r="C61" i="3" s="1"/>
  <c r="B65" i="3" a="1"/>
  <c r="B65" i="3" s="1"/>
  <c r="B62" i="3" a="1"/>
  <c r="B62" i="3" s="1"/>
  <c r="AN75" i="3"/>
  <c r="C32" i="3" a="1"/>
  <c r="C32" i="3" s="1"/>
  <c r="B53" i="3" a="1"/>
  <c r="B53" i="3" s="1"/>
  <c r="B87" i="3" a="1"/>
  <c r="B87" i="3" s="1"/>
  <c r="B40" i="3" a="1"/>
  <c r="B40" i="3" s="1"/>
  <c r="D52" i="3" a="1"/>
  <c r="D52" i="3" s="1"/>
  <c r="D53" i="3" a="1"/>
  <c r="D53" i="3" s="1"/>
  <c r="B25" i="3" a="1"/>
  <c r="B25" i="3" s="1"/>
  <c r="D78" i="3" a="1"/>
  <c r="D78" i="3" s="1"/>
  <c r="C78" i="3" a="1"/>
  <c r="C78" i="3" s="1"/>
  <c r="C63" i="3" a="1"/>
  <c r="C63" i="3" s="1"/>
  <c r="C60" i="3" a="1"/>
  <c r="C60" i="3" s="1"/>
  <c r="D50" i="3" a="1"/>
  <c r="D50" i="3" s="1"/>
  <c r="AN45" i="3"/>
  <c r="B58" i="3" a="1"/>
  <c r="B58" i="3" s="1"/>
  <c r="B84" i="3" a="1"/>
  <c r="B84" i="3" s="1"/>
  <c r="C45" i="3" a="1"/>
  <c r="C45" i="3" s="1"/>
  <c r="AN35" i="3"/>
  <c r="D36" i="3" a="1"/>
  <c r="D36" i="3" s="1"/>
  <c r="AN27" i="3"/>
  <c r="B26" i="3" a="1"/>
  <c r="B26" i="3" s="1"/>
  <c r="D84" i="3" a="1"/>
  <c r="D84" i="3" s="1"/>
  <c r="C35" i="3" a="1"/>
  <c r="C35" i="3" s="1"/>
  <c r="G68" i="3" a="1"/>
  <c r="G68" i="3" s="1"/>
  <c r="B28" i="3" a="1"/>
  <c r="B28" i="3" s="1"/>
  <c r="C25" i="3" a="1"/>
  <c r="C25" i="3" s="1"/>
  <c r="G83" i="3" a="1"/>
  <c r="G83" i="3" s="1"/>
  <c r="G61" i="3" a="1"/>
  <c r="G61" i="3" s="1"/>
  <c r="B76" i="3" a="1"/>
  <c r="B76" i="3" s="1"/>
  <c r="AN60" i="3"/>
  <c r="B83" i="3" a="1"/>
  <c r="B83" i="3" s="1"/>
  <c r="AN68" i="3"/>
  <c r="D68" i="3" a="1"/>
  <c r="D68" i="3" s="1"/>
  <c r="AN42" i="3"/>
  <c r="C43" i="3" a="1"/>
  <c r="C43" i="3" s="1"/>
  <c r="C83" i="3" a="1"/>
  <c r="C83" i="3" s="1"/>
  <c r="C27" i="3" a="1"/>
  <c r="C27" i="3" s="1"/>
  <c r="C71" i="3" a="1"/>
  <c r="C71" i="3" s="1"/>
  <c r="B31" i="3" a="1"/>
  <c r="B31" i="3" s="1"/>
  <c r="D86" i="3" a="1"/>
  <c r="D86" i="3" s="1"/>
  <c r="D60" i="3" a="1"/>
  <c r="D60" i="3" s="1"/>
  <c r="D26" i="3" a="1"/>
  <c r="D26" i="3" s="1"/>
  <c r="B48" i="3" a="1"/>
  <c r="B48" i="3" s="1"/>
  <c r="C49" i="3" a="1"/>
  <c r="C49" i="3" s="1"/>
  <c r="AN28" i="3"/>
  <c r="B38" i="3" a="1"/>
  <c r="B38" i="3" s="1"/>
  <c r="D69" i="3" a="1"/>
  <c r="D69" i="3" s="1"/>
  <c r="C86" i="3" a="1"/>
  <c r="C86" i="3" s="1"/>
  <c r="C67" i="3" a="1"/>
  <c r="C67" i="3" s="1"/>
  <c r="D77" i="3" a="1"/>
  <c r="D77" i="3" s="1"/>
  <c r="AN46" i="3"/>
  <c r="C62" i="3" a="1"/>
  <c r="C62" i="3" s="1"/>
  <c r="AN50" i="3"/>
  <c r="C31" i="3" a="1"/>
  <c r="C31" i="3" s="1"/>
  <c r="AI154" i="3"/>
  <c r="C84" i="3" a="1"/>
  <c r="C84" i="3" s="1"/>
  <c r="G50" i="3" a="1"/>
  <c r="G50" i="3" s="1"/>
  <c r="AN63" i="3"/>
  <c r="B42" i="3" a="1"/>
  <c r="B42" i="3" s="1"/>
  <c r="C68" i="3" a="1"/>
  <c r="C68" i="3" s="1"/>
  <c r="C52" i="3" a="1"/>
  <c r="C52" i="3" s="1"/>
  <c r="B57" i="3" a="1"/>
  <c r="B57" i="3" s="1"/>
  <c r="AN67" i="3"/>
  <c r="C75" i="3" a="1"/>
  <c r="C75" i="3" s="1"/>
  <c r="AN74" i="3"/>
  <c r="C58" i="3" a="1"/>
  <c r="C58" i="3" s="1"/>
  <c r="C50" i="3" a="1"/>
  <c r="C50" i="3" s="1"/>
  <c r="D48" i="3" a="1"/>
  <c r="D48" i="3" s="1"/>
  <c r="C54" i="3" a="1"/>
  <c r="C54" i="3" s="1"/>
  <c r="AN57" i="3"/>
  <c r="C34" i="3" a="1"/>
  <c r="C34" i="3" s="1"/>
  <c r="C77" i="3" a="1"/>
  <c r="C77" i="3" s="1"/>
  <c r="C76" i="3" a="1"/>
  <c r="C76" i="3" s="1"/>
  <c r="B68" i="3" a="1"/>
  <c r="B68" i="3" s="1"/>
  <c r="AN36" i="3"/>
  <c r="D45" i="3" a="1"/>
  <c r="D45" i="3" s="1"/>
  <c r="D40" i="3" a="1"/>
  <c r="D40" i="3" s="1"/>
  <c r="D76" i="3" a="1"/>
  <c r="D76" i="3" s="1"/>
  <c r="B34" i="3" a="1"/>
  <c r="B34" i="3" s="1"/>
  <c r="C40" i="3" a="1"/>
  <c r="C40" i="3" s="1"/>
  <c r="C38" i="3" a="1"/>
  <c r="C38" i="3" s="1"/>
  <c r="B27" i="3" a="1"/>
  <c r="B27" i="3" s="1"/>
  <c r="AN85" i="3"/>
  <c r="C87" i="3" a="1"/>
  <c r="C87" i="3" s="1"/>
  <c r="AN61" i="3"/>
  <c r="D75" i="3" a="1"/>
  <c r="D75" i="3" s="1"/>
  <c r="D46" i="3" a="1"/>
  <c r="D46" i="3" s="1"/>
  <c r="C65" i="3" a="1"/>
  <c r="C65" i="3" s="1"/>
  <c r="C48" i="3" a="1"/>
  <c r="C48" i="3" s="1"/>
  <c r="G48" i="3" a="1"/>
  <c r="G48" i="3" s="1"/>
  <c r="AN84" i="3"/>
  <c r="D62" i="3" a="1"/>
  <c r="D62" i="3" s="1"/>
  <c r="B77" i="3" a="1"/>
  <c r="B77" i="3" s="1"/>
  <c r="AN31" i="3"/>
  <c r="C26" i="3" a="1"/>
  <c r="C26" i="3" s="1"/>
  <c r="AN40" i="3"/>
  <c r="B60" i="3" a="1"/>
  <c r="B60" i="3" s="1"/>
  <c r="D34" i="3" a="1"/>
  <c r="D34" i="3" s="1"/>
  <c r="G35" i="3" a="1"/>
  <c r="G35" i="3" s="1"/>
  <c r="D35" i="3" a="1"/>
  <c r="D35" i="3" s="1"/>
  <c r="AN34" i="3"/>
  <c r="G31" i="3" a="1"/>
  <c r="G31" i="3" s="1"/>
  <c r="C74" i="3" a="1"/>
  <c r="C74" i="3" s="1"/>
  <c r="C29" i="3" a="1"/>
  <c r="C29" i="3" s="1"/>
  <c r="B86" i="3" a="1"/>
  <c r="B86" i="3" s="1"/>
  <c r="AN48" i="3"/>
  <c r="C53" i="3" a="1"/>
  <c r="C53" i="3" s="1"/>
  <c r="B50" i="3" a="1"/>
  <c r="B50" i="3" s="1"/>
  <c r="D74" i="3" a="1"/>
  <c r="D74" i="3" s="1"/>
  <c r="B54" i="3" a="1"/>
  <c r="B54" i="3" s="1"/>
  <c r="AH21" i="3"/>
  <c r="AO189" i="3" a="1"/>
  <c r="AO189" i="3" s="1"/>
  <c r="AO191" i="3" a="1"/>
  <c r="AO191" i="3" s="1"/>
  <c r="AO185" i="3" a="1"/>
  <c r="AO185" i="3" s="1"/>
  <c r="AO188" i="3" s="1"/>
  <c r="D18" i="3" a="1"/>
  <c r="D18" i="3" s="1"/>
  <c r="D16" i="3" a="1"/>
  <c r="D16" i="3" s="1"/>
  <c r="D15" i="3" a="1"/>
  <c r="D15" i="3" s="1"/>
  <c r="E376" i="3"/>
  <c r="D367" i="3" a="1"/>
  <c r="D367" i="3" s="1"/>
  <c r="B148" i="3" a="1"/>
  <c r="B148" i="3" s="1"/>
  <c r="G371" i="3" a="1"/>
  <c r="G371" i="3" s="1"/>
  <c r="D374" i="3" a="1"/>
  <c r="D374" i="3" s="1"/>
  <c r="D8" i="3" a="1"/>
  <c r="D8" i="3" s="1"/>
  <c r="D14" i="3" a="1"/>
  <c r="D14" i="3" s="1"/>
  <c r="D150" i="3" a="1"/>
  <c r="D150" i="3" s="1"/>
  <c r="C11" i="3" a="1"/>
  <c r="C11" i="3" s="1"/>
  <c r="B153" i="3" a="1"/>
  <c r="B153" i="3" s="1"/>
  <c r="C14" i="3" a="1"/>
  <c r="C14" i="3" s="1"/>
  <c r="C147" i="3" a="1"/>
  <c r="C147" i="3" s="1"/>
  <c r="G144" i="3" a="1"/>
  <c r="G144" i="3" s="1"/>
  <c r="G372" i="3" a="1"/>
  <c r="G372" i="3" s="1"/>
  <c r="C146" i="3" a="1"/>
  <c r="C146" i="3" s="1"/>
  <c r="G370" i="3" a="1"/>
  <c r="G370" i="3" s="1"/>
  <c r="D155" i="3" a="1"/>
  <c r="D155" i="3" s="1"/>
  <c r="DU252" i="2"/>
  <c r="C153" i="3" a="1"/>
  <c r="C153" i="3" s="1"/>
  <c r="D370" i="3" a="1"/>
  <c r="D370" i="3" s="1"/>
  <c r="D373" i="3" a="1"/>
  <c r="D373" i="3" s="1"/>
  <c r="C144" i="3" a="1"/>
  <c r="C144" i="3" s="1"/>
  <c r="B18" i="3" a="1"/>
  <c r="B18" i="3" s="1"/>
  <c r="D372" i="3" a="1"/>
  <c r="D372" i="3" s="1"/>
  <c r="D153" i="3" a="1"/>
  <c r="D153" i="3" s="1"/>
  <c r="B16" i="3" a="1"/>
  <c r="B16" i="3" s="1"/>
  <c r="B146" i="3" a="1"/>
  <c r="B146" i="3" s="1"/>
  <c r="D5" i="3" a="1"/>
  <c r="D5" i="3" s="1"/>
  <c r="D7" i="3" s="1"/>
  <c r="G369" i="3" a="1"/>
  <c r="G369" i="3" s="1"/>
  <c r="C5" i="3" a="1"/>
  <c r="C5" i="3" s="1"/>
  <c r="D366" i="3" a="1"/>
  <c r="D366" i="3" s="1"/>
  <c r="G146" i="3" a="1"/>
  <c r="G146" i="3" s="1"/>
  <c r="C155" i="3" a="1"/>
  <c r="C155" i="3" s="1"/>
  <c r="B14" i="3" a="1"/>
  <c r="B14" i="3" s="1"/>
  <c r="B147" i="3" a="1"/>
  <c r="B147" i="3" s="1"/>
  <c r="D11" i="3" a="1"/>
  <c r="D11" i="3" s="1"/>
  <c r="D368" i="3" a="1"/>
  <c r="D368" i="3" s="1"/>
  <c r="B145" i="3" a="1"/>
  <c r="B145" i="3" s="1"/>
  <c r="D148" i="3" a="1"/>
  <c r="D148" i="3" s="1"/>
  <c r="DV252" i="2"/>
  <c r="C8" i="3" a="1"/>
  <c r="C8" i="3" s="1"/>
  <c r="G373" i="3" a="1"/>
  <c r="G373" i="3" s="1"/>
  <c r="G150" i="3" a="1"/>
  <c r="G150" i="3" s="1"/>
  <c r="B8" i="3" a="1"/>
  <c r="B8" i="3" s="1"/>
  <c r="B15" i="3" a="1"/>
  <c r="B15" i="3" s="1"/>
  <c r="D147" i="3" a="1"/>
  <c r="D147" i="3" s="1"/>
  <c r="D369" i="3" a="1"/>
  <c r="D369" i="3" s="1"/>
  <c r="G152" i="3" a="1"/>
  <c r="G152" i="3" s="1"/>
  <c r="D363" i="3" a="1"/>
  <c r="D363" i="3" s="1"/>
  <c r="C148" i="3" a="1"/>
  <c r="C148" i="3" s="1"/>
  <c r="B5" i="3" a="1"/>
  <c r="B5" i="3" s="1"/>
  <c r="C16" i="3" a="1"/>
  <c r="C16" i="3" s="1"/>
  <c r="D364" i="3" a="1"/>
  <c r="D364" i="3" s="1"/>
  <c r="D146" i="3" a="1"/>
  <c r="D146" i="3" s="1"/>
  <c r="D371" i="3" a="1"/>
  <c r="D371" i="3" s="1"/>
  <c r="D145" i="3" a="1"/>
  <c r="D145" i="3" s="1"/>
  <c r="C145" i="3" a="1"/>
  <c r="C145" i="3" s="1"/>
  <c r="G374" i="3" a="1"/>
  <c r="G374" i="3" s="1"/>
  <c r="G368" i="3" a="1"/>
  <c r="G368" i="3" s="1"/>
  <c r="D362" i="3" a="1"/>
  <c r="D362" i="3" s="1"/>
  <c r="B11" i="3" a="1"/>
  <c r="B11" i="3" s="1"/>
  <c r="C18" i="3" a="1"/>
  <c r="C18" i="3" s="1"/>
  <c r="D144" i="3" a="1"/>
  <c r="D144" i="3" s="1"/>
  <c r="D149" i="3" a="1"/>
  <c r="D149" i="3" s="1"/>
  <c r="G153" i="3" a="1"/>
  <c r="G153" i="3" s="1"/>
  <c r="C15" i="3" a="1"/>
  <c r="C15" i="3" s="1"/>
  <c r="D152" i="3" a="1"/>
  <c r="D152" i="3" s="1"/>
  <c r="AI252" i="2"/>
  <c r="F11" i="3" s="1" a="1"/>
  <c r="F11" i="3" s="1"/>
  <c r="D365" i="3" a="1"/>
  <c r="D365" i="3" s="1"/>
  <c r="B155" i="3" a="1"/>
  <c r="B155" i="3" s="1"/>
  <c r="O21" i="3" l="1"/>
  <c r="AK35" i="3"/>
  <c r="AL49" i="3"/>
  <c r="AK60" i="3"/>
  <c r="AK15" i="3"/>
  <c r="AK27" i="3"/>
  <c r="AL40" i="3"/>
  <c r="AM18" i="3"/>
  <c r="AL18" i="3"/>
  <c r="AL69" i="3"/>
  <c r="AK59" i="3"/>
  <c r="AN18" i="3"/>
  <c r="AK81" i="3"/>
  <c r="AK73" i="3"/>
  <c r="AK70" i="3"/>
  <c r="AL54" i="3"/>
  <c r="AK26" i="3"/>
  <c r="AL72" i="3"/>
  <c r="AK44" i="3"/>
  <c r="AK65" i="3"/>
  <c r="AL6" i="3"/>
  <c r="AK16" i="3"/>
  <c r="AL62" i="3"/>
  <c r="AK33" i="3"/>
  <c r="AL38" i="3"/>
  <c r="AN6" i="3"/>
  <c r="AL16" i="3"/>
  <c r="AL393" i="3"/>
  <c r="AK393" i="3"/>
  <c r="AM393" i="3"/>
  <c r="AN393" i="3"/>
  <c r="I403" i="3"/>
  <c r="AL390" i="3"/>
  <c r="AM390" i="3"/>
  <c r="AK390" i="3"/>
  <c r="AN390" i="3"/>
  <c r="AK400" i="3"/>
  <c r="AL400" i="3"/>
  <c r="AM400" i="3"/>
  <c r="AN400" i="3"/>
  <c r="AL394" i="3"/>
  <c r="AK394" i="3"/>
  <c r="AM394" i="3"/>
  <c r="AN394" i="3"/>
  <c r="AL395" i="3"/>
  <c r="AK395" i="3"/>
  <c r="AM395" i="3"/>
  <c r="AN395" i="3"/>
  <c r="AL392" i="3"/>
  <c r="AK392" i="3"/>
  <c r="AM392" i="3"/>
  <c r="AN392" i="3"/>
  <c r="F391" i="3" a="1"/>
  <c r="F391" i="3" s="1"/>
  <c r="F394" i="3" a="1"/>
  <c r="F394" i="3" s="1"/>
  <c r="F400" i="3" a="1"/>
  <c r="F400" i="3" s="1"/>
  <c r="F395" i="3" a="1"/>
  <c r="F395" i="3" s="1"/>
  <c r="F397" i="3" a="1"/>
  <c r="F397" i="3" s="1"/>
  <c r="F402" i="3" a="1"/>
  <c r="F402" i="3" s="1"/>
  <c r="F392" i="3" a="1"/>
  <c r="F392" i="3" s="1"/>
  <c r="D403" i="3"/>
  <c r="AL391" i="3"/>
  <c r="AK391" i="3"/>
  <c r="AM391" i="3"/>
  <c r="AN391" i="3"/>
  <c r="AL398" i="3"/>
  <c r="AK398" i="3"/>
  <c r="AM398" i="3"/>
  <c r="AN398" i="3"/>
  <c r="AL402" i="3"/>
  <c r="AK402" i="3"/>
  <c r="AM402" i="3"/>
  <c r="AN402" i="3"/>
  <c r="AK397" i="3"/>
  <c r="AL397" i="3"/>
  <c r="AM397" i="3"/>
  <c r="AN397" i="3"/>
  <c r="AL401" i="3"/>
  <c r="AK401" i="3"/>
  <c r="AM401" i="3"/>
  <c r="AN401" i="3"/>
  <c r="AK399" i="3"/>
  <c r="AL399" i="3"/>
  <c r="AM399" i="3"/>
  <c r="AN399" i="3"/>
  <c r="AL396" i="3"/>
  <c r="AK396" i="3"/>
  <c r="AM396" i="3"/>
  <c r="AN396" i="3"/>
  <c r="F399" i="3" a="1"/>
  <c r="F399" i="3" s="1"/>
  <c r="F393" i="3" a="1"/>
  <c r="F393" i="3" s="1"/>
  <c r="F396" i="3" a="1"/>
  <c r="F396" i="3" s="1"/>
  <c r="F401" i="3" a="1"/>
  <c r="F401" i="3" s="1"/>
  <c r="F390" i="3" a="1"/>
  <c r="F390" i="3" s="1"/>
  <c r="F398" i="3" a="1"/>
  <c r="F398" i="3" s="1"/>
  <c r="AK67" i="3"/>
  <c r="AK48" i="3"/>
  <c r="AM17" i="3"/>
  <c r="AK43" i="3"/>
  <c r="AK53" i="3"/>
  <c r="AK31" i="3"/>
  <c r="AL32" i="3"/>
  <c r="AK17" i="3"/>
  <c r="AK14" i="3"/>
  <c r="AL66" i="3"/>
  <c r="AL145" i="3"/>
  <c r="AL71" i="3"/>
  <c r="AL82" i="3"/>
  <c r="AL41" i="3"/>
  <c r="AL15" i="3"/>
  <c r="AL76" i="3"/>
  <c r="AM14" i="3"/>
  <c r="AL37" i="3"/>
  <c r="AL30" i="3"/>
  <c r="AL112" i="3"/>
  <c r="AK6" i="3"/>
  <c r="AK372" i="3"/>
  <c r="AN15" i="3"/>
  <c r="AN145" i="3"/>
  <c r="AN149" i="3"/>
  <c r="AM149" i="3"/>
  <c r="AN14" i="3"/>
  <c r="AL52" i="3"/>
  <c r="AL58" i="3"/>
  <c r="AL45" i="3"/>
  <c r="AK77" i="3"/>
  <c r="AL83" i="3"/>
  <c r="AK79" i="3"/>
  <c r="AK68" i="3"/>
  <c r="AL97" i="3"/>
  <c r="AL28" i="3"/>
  <c r="AM10" i="3"/>
  <c r="AK10" i="3"/>
  <c r="AN148" i="3"/>
  <c r="AM145" i="3"/>
  <c r="I113" i="3" a="1"/>
  <c r="I113" i="3" s="1"/>
  <c r="AL113" i="3" s="1"/>
  <c r="I11" i="3" a="1"/>
  <c r="I11" i="3" s="1"/>
  <c r="AK11" i="3" s="1"/>
  <c r="I101" i="3" a="1"/>
  <c r="I101" i="3" s="1"/>
  <c r="I114" i="3" a="1"/>
  <c r="I114" i="3" s="1"/>
  <c r="I13" i="3" a="1"/>
  <c r="I13" i="3" s="1"/>
  <c r="I104" i="3" a="1"/>
  <c r="I104" i="3" s="1"/>
  <c r="I105" i="3" a="1"/>
  <c r="I105" i="3" s="1"/>
  <c r="AK105" i="3" s="1"/>
  <c r="I102" i="3" a="1"/>
  <c r="I102" i="3" s="1"/>
  <c r="I108" i="3" a="1"/>
  <c r="I108" i="3" s="1"/>
  <c r="I106" i="3" s="1"/>
  <c r="I12" i="3" a="1"/>
  <c r="I12" i="3" s="1"/>
  <c r="I5" i="3" a="1"/>
  <c r="I5" i="3" s="1"/>
  <c r="AL5" i="3" s="1"/>
  <c r="I8" i="3" a="1"/>
  <c r="I8" i="3" s="1"/>
  <c r="AN150" i="3"/>
  <c r="AK50" i="3"/>
  <c r="AL78" i="3"/>
  <c r="AK57" i="3"/>
  <c r="AL111" i="3"/>
  <c r="AL146" i="3"/>
  <c r="AL149" i="3"/>
  <c r="AN17" i="3"/>
  <c r="AL10" i="3"/>
  <c r="AK42" i="3"/>
  <c r="AL84" i="3"/>
  <c r="AK103" i="3"/>
  <c r="AL99" i="3"/>
  <c r="I96" i="3"/>
  <c r="AL98" i="3"/>
  <c r="AN146" i="3"/>
  <c r="AL29" i="3"/>
  <c r="AM146" i="3"/>
  <c r="AL56" i="3"/>
  <c r="AN10" i="3"/>
  <c r="AN152" i="3"/>
  <c r="AM148" i="3"/>
  <c r="AN147" i="3"/>
  <c r="AL25" i="3"/>
  <c r="AK34" i="3"/>
  <c r="AK51" i="3"/>
  <c r="AL46" i="3"/>
  <c r="AK47" i="3"/>
  <c r="AK64" i="3"/>
  <c r="AL75" i="3"/>
  <c r="AK36" i="3"/>
  <c r="AL152" i="3"/>
  <c r="AL148" i="3"/>
  <c r="AM152" i="3"/>
  <c r="AK63" i="3"/>
  <c r="AL74" i="3"/>
  <c r="AL150" i="3"/>
  <c r="AM150" i="3"/>
  <c r="AN369" i="3"/>
  <c r="AM369" i="3"/>
  <c r="AK373" i="3"/>
  <c r="AL369" i="3"/>
  <c r="AM372" i="3"/>
  <c r="AK362" i="3"/>
  <c r="AI21" i="3"/>
  <c r="AK96" i="3"/>
  <c r="AM373" i="3"/>
  <c r="AL373" i="3"/>
  <c r="AL372" i="3"/>
  <c r="AL107" i="3"/>
  <c r="AK107" i="3"/>
  <c r="AL109" i="3"/>
  <c r="AK109" i="3"/>
  <c r="AL85" i="3"/>
  <c r="AK85" i="3"/>
  <c r="AK80" i="3"/>
  <c r="AL80" i="3"/>
  <c r="AL39" i="3"/>
  <c r="AK39" i="3"/>
  <c r="AK55" i="3"/>
  <c r="AL55" i="3"/>
  <c r="AN362" i="3"/>
  <c r="AM362" i="3"/>
  <c r="AL367" i="3"/>
  <c r="AM367" i="3"/>
  <c r="AK367" i="3"/>
  <c r="AK368" i="3"/>
  <c r="AL368" i="3"/>
  <c r="AN368" i="3"/>
  <c r="AL374" i="3"/>
  <c r="AK374" i="3"/>
  <c r="AM374" i="3"/>
  <c r="AN374" i="3"/>
  <c r="AL365" i="3"/>
  <c r="AK365" i="3"/>
  <c r="AM365" i="3"/>
  <c r="AN365" i="3"/>
  <c r="AL370" i="3"/>
  <c r="AK370" i="3"/>
  <c r="AM370" i="3"/>
  <c r="AN370" i="3"/>
  <c r="AL9" i="3"/>
  <c r="AK9" i="3"/>
  <c r="AN9" i="3"/>
  <c r="AM9" i="3"/>
  <c r="AL371" i="3"/>
  <c r="AK371" i="3"/>
  <c r="AM371" i="3"/>
  <c r="AN371" i="3"/>
  <c r="AK364" i="3"/>
  <c r="AL364" i="3"/>
  <c r="AM364" i="3"/>
  <c r="AN364" i="3"/>
  <c r="I375" i="3"/>
  <c r="AL366" i="3"/>
  <c r="AK366" i="3"/>
  <c r="AM366" i="3"/>
  <c r="AN366" i="3"/>
  <c r="AL363" i="3"/>
  <c r="AK363" i="3"/>
  <c r="AM363" i="3"/>
  <c r="AN363" i="3"/>
  <c r="AL153" i="3"/>
  <c r="AM153" i="3"/>
  <c r="AN153" i="3"/>
  <c r="AK147" i="3"/>
  <c r="AM147" i="3"/>
  <c r="I87" i="3"/>
  <c r="I91" i="3" s="1"/>
  <c r="AK144" i="3"/>
  <c r="I154" i="3"/>
  <c r="AN154" i="3" s="1"/>
  <c r="AM144" i="3"/>
  <c r="AK151" i="3"/>
  <c r="AM151" i="3"/>
  <c r="AN144" i="3"/>
  <c r="AL151" i="3"/>
  <c r="AL144" i="3"/>
  <c r="AL155" i="3"/>
  <c r="AM155" i="3"/>
  <c r="AK155" i="3"/>
  <c r="AN155" i="3"/>
  <c r="AN87" i="3"/>
  <c r="AM87" i="3"/>
  <c r="AP191" i="3" a="1"/>
  <c r="AP191" i="3" s="1"/>
  <c r="AP189" i="3" a="1"/>
  <c r="AP189" i="3" s="1"/>
  <c r="AP184" i="3" a="1"/>
  <c r="AP184" i="3" s="1"/>
  <c r="AP188" i="3" s="1"/>
  <c r="AA116" i="3"/>
  <c r="AE116" i="3"/>
  <c r="H198" i="3"/>
  <c r="H269" i="3" s="1"/>
  <c r="V116" i="3"/>
  <c r="AB116" i="3"/>
  <c r="H21" i="3"/>
  <c r="H184" i="3" s="1" a="1"/>
  <c r="H184" i="3" s="1"/>
  <c r="AN100" i="3"/>
  <c r="X116" i="3"/>
  <c r="AM100" i="3"/>
  <c r="U116" i="3"/>
  <c r="N116" i="3"/>
  <c r="L116" i="3"/>
  <c r="M116" i="3"/>
  <c r="AN110" i="3"/>
  <c r="Y116" i="3"/>
  <c r="AC116" i="3"/>
  <c r="AD116" i="3"/>
  <c r="H376" i="3"/>
  <c r="T116" i="3"/>
  <c r="O116" i="3"/>
  <c r="AF116" i="3"/>
  <c r="S116" i="3"/>
  <c r="Z116" i="3"/>
  <c r="AN96" i="3"/>
  <c r="AI116" i="3"/>
  <c r="R116" i="3"/>
  <c r="AN106" i="3"/>
  <c r="AH116" i="3"/>
  <c r="H116" i="3"/>
  <c r="H120" i="3" s="1"/>
  <c r="W116" i="3"/>
  <c r="AG116" i="3"/>
  <c r="AM96" i="3"/>
  <c r="H352" i="3"/>
  <c r="H181" i="3"/>
  <c r="AM385" i="3"/>
  <c r="AN385" i="3"/>
  <c r="F27" i="3" a="1"/>
  <c r="F27" i="3" s="1"/>
  <c r="F77" i="3" a="1"/>
  <c r="F77" i="3" s="1"/>
  <c r="F29" i="3" a="1"/>
  <c r="F29" i="3" s="1"/>
  <c r="F26" i="3" a="1"/>
  <c r="F26" i="3" s="1"/>
  <c r="F46" i="3" a="1"/>
  <c r="F46" i="3" s="1"/>
  <c r="F84" i="3" a="1"/>
  <c r="F84" i="3" s="1"/>
  <c r="F61" i="3" a="1"/>
  <c r="F61" i="3" s="1"/>
  <c r="F60" i="3" a="1"/>
  <c r="F60" i="3" s="1"/>
  <c r="F75" i="3" a="1"/>
  <c r="F75" i="3" s="1"/>
  <c r="F57" i="3" a="1"/>
  <c r="F57" i="3" s="1"/>
  <c r="F67" i="3" a="1"/>
  <c r="F67" i="3" s="1"/>
  <c r="F34" i="3" a="1"/>
  <c r="F34" i="3" s="1"/>
  <c r="F53" i="3" a="1"/>
  <c r="F53" i="3" s="1"/>
  <c r="F45" i="3" a="1"/>
  <c r="F45" i="3" s="1"/>
  <c r="F50" i="3" a="1"/>
  <c r="F50" i="3" s="1"/>
  <c r="F76" i="3" a="1"/>
  <c r="F76" i="3" s="1"/>
  <c r="F69" i="3" a="1"/>
  <c r="F69" i="3" s="1"/>
  <c r="F54" i="3" a="1"/>
  <c r="F54" i="3" s="1"/>
  <c r="F52" i="3" a="1"/>
  <c r="F52" i="3" s="1"/>
  <c r="F63" i="3" a="1"/>
  <c r="F63" i="3" s="1"/>
  <c r="F40" i="3" a="1"/>
  <c r="F40" i="3" s="1"/>
  <c r="F43" i="3" a="1"/>
  <c r="F43" i="3" s="1"/>
  <c r="F86" i="3" a="1"/>
  <c r="F86" i="3" s="1"/>
  <c r="F28" i="3" a="1"/>
  <c r="F28" i="3" s="1"/>
  <c r="F32" i="3" a="1"/>
  <c r="F32" i="3" s="1"/>
  <c r="F71" i="3" a="1"/>
  <c r="F71" i="3" s="1"/>
  <c r="F58" i="3" a="1"/>
  <c r="F58" i="3" s="1"/>
  <c r="F65" i="3" a="1"/>
  <c r="F65" i="3" s="1"/>
  <c r="F85" i="3" a="1"/>
  <c r="F85" i="3" s="1"/>
  <c r="F83" i="3" a="1"/>
  <c r="F83" i="3" s="1"/>
  <c r="F49" i="3" a="1"/>
  <c r="F49" i="3" s="1"/>
  <c r="F68" i="3" a="1"/>
  <c r="F68" i="3" s="1"/>
  <c r="F31" i="3" a="1"/>
  <c r="F31" i="3" s="1"/>
  <c r="F25" i="3" a="1"/>
  <c r="F25" i="3" s="1"/>
  <c r="F36" i="3" a="1"/>
  <c r="F36" i="3" s="1"/>
  <c r="AI156" i="3"/>
  <c r="F42" i="3" a="1"/>
  <c r="F42" i="3" s="1"/>
  <c r="F87" i="3" a="1"/>
  <c r="F87" i="3" s="1"/>
  <c r="F38" i="3" a="1"/>
  <c r="F38" i="3" s="1"/>
  <c r="F35" i="3" a="1"/>
  <c r="F35" i="3" s="1"/>
  <c r="F74" i="3" a="1"/>
  <c r="F74" i="3" s="1"/>
  <c r="F62" i="3" a="1"/>
  <c r="F62" i="3" s="1"/>
  <c r="F48" i="3" a="1"/>
  <c r="F48" i="3" s="1"/>
  <c r="F78" i="3" a="1"/>
  <c r="F78" i="3" s="1"/>
  <c r="AO192" i="3"/>
  <c r="F364" i="3" a="1"/>
  <c r="F364" i="3" s="1"/>
  <c r="B154" i="3"/>
  <c r="B156" i="3" s="1"/>
  <c r="F152" i="3" a="1"/>
  <c r="F152" i="3" s="1"/>
  <c r="F363" i="3" a="1"/>
  <c r="F363" i="3" s="1"/>
  <c r="D19" i="3"/>
  <c r="D21" i="3" s="1"/>
  <c r="F5" i="3" a="1"/>
  <c r="F5" i="3" s="1"/>
  <c r="F7" i="3" s="1"/>
  <c r="F374" i="3" a="1"/>
  <c r="F374" i="3" s="1"/>
  <c r="F373" i="3" a="1"/>
  <c r="F373" i="3" s="1"/>
  <c r="F365" i="3" a="1"/>
  <c r="F365" i="3" s="1"/>
  <c r="F145" i="3" a="1"/>
  <c r="F145" i="3" s="1"/>
  <c r="F15" i="3" a="1"/>
  <c r="F15" i="3" s="1"/>
  <c r="G134" i="3" s="1"/>
  <c r="G136" i="3" s="1"/>
  <c r="G138" i="3" s="1"/>
  <c r="F155" i="3" a="1"/>
  <c r="F155" i="3" s="1"/>
  <c r="F153" i="3" a="1"/>
  <c r="F153" i="3" s="1"/>
  <c r="F16" i="3" a="1"/>
  <c r="F16" i="3" s="1"/>
  <c r="F146" i="3" a="1"/>
  <c r="F146" i="3" s="1"/>
  <c r="F149" i="3" a="1"/>
  <c r="F149" i="3" s="1"/>
  <c r="F14" i="3" a="1"/>
  <c r="F14" i="3" s="1"/>
  <c r="F369" i="3" a="1"/>
  <c r="F369" i="3" s="1"/>
  <c r="F366" i="3" a="1"/>
  <c r="F366" i="3" s="1"/>
  <c r="D154" i="3"/>
  <c r="D156" i="3" s="1"/>
  <c r="F368" i="3" a="1"/>
  <c r="F368" i="3" s="1"/>
  <c r="F362" i="3" a="1"/>
  <c r="F362" i="3" s="1"/>
  <c r="F150" i="3" a="1"/>
  <c r="F150" i="3" s="1"/>
  <c r="F370" i="3" a="1"/>
  <c r="F370" i="3" s="1"/>
  <c r="F144" i="3" a="1"/>
  <c r="F144" i="3" s="1"/>
  <c r="F18" i="3" a="1"/>
  <c r="F18" i="3" s="1"/>
  <c r="F372" i="3" a="1"/>
  <c r="F372" i="3" s="1"/>
  <c r="F8" i="3" a="1"/>
  <c r="F8" i="3" s="1"/>
  <c r="D375" i="3"/>
  <c r="F367" i="3" a="1"/>
  <c r="F367" i="3" s="1"/>
  <c r="C19" i="3"/>
  <c r="C21" i="3" s="1"/>
  <c r="G154" i="3"/>
  <c r="G156" i="3" s="1"/>
  <c r="G376" i="3" s="1"/>
  <c r="C154" i="3"/>
  <c r="C156" i="3" s="1"/>
  <c r="F148" i="3" a="1"/>
  <c r="F148" i="3" s="1"/>
  <c r="F371" i="3" a="1"/>
  <c r="F371" i="3" s="1"/>
  <c r="B19" i="3"/>
  <c r="B21" i="3" s="1"/>
  <c r="F147" i="3" a="1"/>
  <c r="F147" i="3" s="1"/>
  <c r="AK113" i="3" l="1"/>
  <c r="AM403" i="3"/>
  <c r="AN403" i="3"/>
  <c r="F403" i="3"/>
  <c r="AK403" i="3"/>
  <c r="AL403" i="3"/>
  <c r="AL96" i="3"/>
  <c r="I110" i="3"/>
  <c r="I19" i="3"/>
  <c r="AM19" i="3" s="1"/>
  <c r="AN11" i="3"/>
  <c r="AL11" i="3"/>
  <c r="AM11" i="3"/>
  <c r="AM8" i="3"/>
  <c r="AK8" i="3"/>
  <c r="AN8" i="3"/>
  <c r="AL8" i="3"/>
  <c r="AN12" i="3"/>
  <c r="AL12" i="3"/>
  <c r="AM12" i="3"/>
  <c r="AK12" i="3"/>
  <c r="AL102" i="3"/>
  <c r="AK102" i="3"/>
  <c r="AL104" i="3"/>
  <c r="AK104" i="3"/>
  <c r="AK114" i="3"/>
  <c r="AL114" i="3"/>
  <c r="AL110" i="3" s="1"/>
  <c r="AN5" i="3"/>
  <c r="AK5" i="3"/>
  <c r="AK7" i="3" s="1"/>
  <c r="AL7" i="3"/>
  <c r="I7" i="3"/>
  <c r="AM5" i="3"/>
  <c r="AK108" i="3"/>
  <c r="AK106" i="3" s="1"/>
  <c r="AL108" i="3"/>
  <c r="AL106" i="3" s="1"/>
  <c r="AL13" i="3"/>
  <c r="AN13" i="3"/>
  <c r="AK13" i="3"/>
  <c r="AM13" i="3"/>
  <c r="AL101" i="3"/>
  <c r="AK101" i="3"/>
  <c r="I100" i="3"/>
  <c r="I116" i="3" s="1"/>
  <c r="I120" i="3" s="1"/>
  <c r="AK87" i="3"/>
  <c r="AL87" i="3"/>
  <c r="AK375" i="3"/>
  <c r="AL375" i="3"/>
  <c r="AM375" i="3"/>
  <c r="AN375" i="3"/>
  <c r="AK154" i="3"/>
  <c r="AK156" i="3" s="1"/>
  <c r="AL154" i="3"/>
  <c r="AL156" i="3" s="1"/>
  <c r="I156" i="3"/>
  <c r="AM156" i="3" s="1"/>
  <c r="AM154" i="3"/>
  <c r="AM116" i="3"/>
  <c r="AN116" i="3"/>
  <c r="AP192" i="3"/>
  <c r="H191" i="3" a="1"/>
  <c r="H191" i="3" s="1"/>
  <c r="H189" i="3" a="1"/>
  <c r="H189" i="3" s="1"/>
  <c r="AM376" i="3"/>
  <c r="H185" i="3" a="1"/>
  <c r="H185" i="3" s="1"/>
  <c r="H188" i="3" s="1"/>
  <c r="AU352" i="3"/>
  <c r="AV352" i="3" s="1"/>
  <c r="F19" i="3"/>
  <c r="F21" i="3" s="1"/>
  <c r="F375" i="3"/>
  <c r="D376" i="3"/>
  <c r="F154" i="3"/>
  <c r="F156" i="3" s="1"/>
  <c r="AK110" i="3" l="1"/>
  <c r="AK19" i="3"/>
  <c r="AK21" i="3" s="1"/>
  <c r="I21" i="3"/>
  <c r="AN21" i="3" s="1"/>
  <c r="AN19" i="3"/>
  <c r="AL100" i="3"/>
  <c r="AL116" i="3" s="1"/>
  <c r="AL19" i="3"/>
  <c r="AL21" i="3" s="1"/>
  <c r="AK100" i="3"/>
  <c r="AM7" i="3"/>
  <c r="AN7" i="3"/>
  <c r="AN156" i="3"/>
  <c r="H192" i="3"/>
  <c r="F376" i="3"/>
  <c r="AK116" i="3" l="1"/>
  <c r="AM21" i="3"/>
</calcChain>
</file>

<file path=xl/sharedStrings.xml><?xml version="1.0" encoding="utf-8"?>
<sst xmlns="http://schemas.openxmlformats.org/spreadsheetml/2006/main" count="5933" uniqueCount="899">
  <si>
    <t>Infrastructure</t>
  </si>
  <si>
    <t>Waste Management</t>
  </si>
  <si>
    <t>Community</t>
  </si>
  <si>
    <t>Libraries</t>
  </si>
  <si>
    <t>Cemeteries</t>
  </si>
  <si>
    <t>Other assets</t>
  </si>
  <si>
    <t>Refuse</t>
  </si>
  <si>
    <t>Chief Operations Officer</t>
  </si>
  <si>
    <t>Own Funds</t>
  </si>
  <si>
    <t>Directorate of Development Planning</t>
  </si>
  <si>
    <t>Directorate</t>
  </si>
  <si>
    <t>Project Name</t>
  </si>
  <si>
    <t>A5</t>
  </si>
  <si>
    <t>Housing</t>
  </si>
  <si>
    <t>Electricity</t>
  </si>
  <si>
    <t>Swimming Pool</t>
  </si>
  <si>
    <t>DoE(Intergrated National Electrification Programme)</t>
  </si>
  <si>
    <t>Halls</t>
  </si>
  <si>
    <t>Sportsfields</t>
  </si>
  <si>
    <t>Roads</t>
  </si>
  <si>
    <t>New-50</t>
  </si>
  <si>
    <t>New-60</t>
  </si>
  <si>
    <t>KPA'S</t>
  </si>
  <si>
    <t>A9</t>
  </si>
  <si>
    <t>Road Transport</t>
  </si>
  <si>
    <t>34a &amp; 34b</t>
  </si>
  <si>
    <t>New-270</t>
  </si>
  <si>
    <t>New-220</t>
  </si>
  <si>
    <t>Renewal-160</t>
  </si>
  <si>
    <t>Executive and council</t>
  </si>
  <si>
    <t>Corporate services</t>
  </si>
  <si>
    <t>Community and social services</t>
  </si>
  <si>
    <t>Public safety</t>
  </si>
  <si>
    <t>Planning and development</t>
  </si>
  <si>
    <t>Road transport</t>
  </si>
  <si>
    <t>Water</t>
  </si>
  <si>
    <t>Other</t>
  </si>
  <si>
    <t xml:space="preserve">USDG </t>
  </si>
  <si>
    <t>HSDG</t>
  </si>
  <si>
    <t>DIRECTORATE OF HEALTH AND PUBLIC SAFETY</t>
  </si>
  <si>
    <t>DIRECTORATE OF DEVELOPMENT PLANNING</t>
  </si>
  <si>
    <t>Corporate Services</t>
  </si>
  <si>
    <t>Planning and Development</t>
  </si>
  <si>
    <t>Environmental Protection</t>
  </si>
  <si>
    <t>Waste water Management</t>
  </si>
  <si>
    <t>New-30</t>
  </si>
  <si>
    <t>New-250</t>
  </si>
  <si>
    <t>New-120</t>
  </si>
  <si>
    <t>New-150</t>
  </si>
  <si>
    <t>New-170</t>
  </si>
  <si>
    <t>DIRECTORATE OF ENGINEERING SERVICES</t>
  </si>
  <si>
    <t>Electricity reticulation</t>
  </si>
  <si>
    <t>Other Assets</t>
  </si>
  <si>
    <t>Computers</t>
  </si>
  <si>
    <t>Sewerage</t>
  </si>
  <si>
    <t>Vehicles</t>
  </si>
  <si>
    <t>Car Parks,Bus termonals &amp; Taxi ranks</t>
  </si>
  <si>
    <t>Land &amp; Buildings</t>
  </si>
  <si>
    <t>Land &amp; Buildings/ Fire Stations</t>
  </si>
  <si>
    <t>Recreational Facilities</t>
  </si>
  <si>
    <t>TOTAL: EXECUTIVE SUPPORT SERVICES</t>
  </si>
  <si>
    <t>Cost centre name</t>
  </si>
  <si>
    <t>Housing Department</t>
  </si>
  <si>
    <t>Electricity Planning &amp; Design</t>
  </si>
  <si>
    <t>Roads and Stormwater Drainage</t>
  </si>
  <si>
    <t>Transport Planning &amp; Operations Admin</t>
  </si>
  <si>
    <t>Cleansing Administration Support</t>
  </si>
  <si>
    <t>Interments</t>
  </si>
  <si>
    <t>Water Treatment Works</t>
  </si>
  <si>
    <t>KPA2</t>
  </si>
  <si>
    <t>KPA3</t>
  </si>
  <si>
    <t>Service</t>
  </si>
  <si>
    <t>Support Services</t>
  </si>
  <si>
    <t>Waste Water</t>
  </si>
  <si>
    <t>Environmental Services</t>
  </si>
  <si>
    <t>Amenities</t>
  </si>
  <si>
    <t>Health Services</t>
  </si>
  <si>
    <t>Public Safety</t>
  </si>
  <si>
    <t>Renewal-312</t>
  </si>
  <si>
    <t>Asset Sub Class- SA36</t>
  </si>
  <si>
    <t>H.R. Administration</t>
  </si>
  <si>
    <t>Management Information Services</t>
  </si>
  <si>
    <t>Engineering Services</t>
  </si>
  <si>
    <t>Community Services</t>
  </si>
  <si>
    <t>Health and Public Safety</t>
  </si>
  <si>
    <t>Fleet management - Braelyn</t>
  </si>
  <si>
    <t>TOTAL : ENGINEERING SERVICES</t>
  </si>
  <si>
    <t xml:space="preserve">TOTAL : COMMUNITY SERVICES </t>
  </si>
  <si>
    <t>TOTAL : HEALTH AND PUBLIC SAFETY</t>
  </si>
  <si>
    <t>New-312</t>
  </si>
  <si>
    <t>NDPG</t>
  </si>
  <si>
    <t>Ward No.</t>
  </si>
  <si>
    <t>All Wards</t>
  </si>
  <si>
    <t>1,2, 7, 8, 9,10</t>
  </si>
  <si>
    <t>1 to 50</t>
  </si>
  <si>
    <t>13, 21,23</t>
  </si>
  <si>
    <t>17,14,</t>
  </si>
  <si>
    <t>48,12,21,11,17,11,20</t>
  </si>
  <si>
    <t>KPA1</t>
  </si>
  <si>
    <t>KPA5</t>
  </si>
  <si>
    <t>KPA4</t>
  </si>
  <si>
    <t>Financial Services</t>
  </si>
  <si>
    <t>Procurement of Pre-Payment Vending Machines</t>
  </si>
  <si>
    <t>Architecture</t>
  </si>
  <si>
    <t>Land Administration</t>
  </si>
  <si>
    <t>Closed Circuit Television Network - CCTV</t>
  </si>
  <si>
    <t>Land Acquisition</t>
  </si>
  <si>
    <t>Furniture</t>
  </si>
  <si>
    <t>CHIEF OPERATIONS OFFICER</t>
  </si>
  <si>
    <t>DIRECTORATE OF FINANCIAL SERVICES</t>
  </si>
  <si>
    <t>New-80</t>
  </si>
  <si>
    <t>DIRECTORATE OF CORPORATE SERVICES</t>
  </si>
  <si>
    <t>TOTAL : CORPORATE SERVICES</t>
  </si>
  <si>
    <t xml:space="preserve">TOTAL : DEVELOPMENT PLANNING </t>
  </si>
  <si>
    <t>TOTAL : CHIEF OPERATIONS OFFICE</t>
  </si>
  <si>
    <t>DIRECTORATE OF COMMUNITY SERVICES</t>
  </si>
  <si>
    <t>Upgrade KWT Payments Hall</t>
  </si>
  <si>
    <t>KWT Traffic Building</t>
  </si>
  <si>
    <t>Development of Community Parks(Inland, Midlands and Coastal)</t>
  </si>
  <si>
    <t>Electrification of Informal Dwelling Areas within BCMM</t>
  </si>
  <si>
    <t>Construction of Transfer Stations - 3 x Sites</t>
  </si>
  <si>
    <t>Construction and Rehabilitation of Waste Cells</t>
  </si>
  <si>
    <t>E.L.Regional Waste Disposal Site &amp; Transfer Station</t>
  </si>
  <si>
    <t>Redevelopment of Mdantsane NU 2 Swimming Pool and Upgrading of Waterworld</t>
  </si>
  <si>
    <t>ISDG</t>
  </si>
  <si>
    <t>Office Furniture and Equipment and Computers</t>
  </si>
  <si>
    <t>Extensions to Employee Wellness Centre</t>
  </si>
  <si>
    <t>Mdantsane Testing Station - Equipment</t>
  </si>
  <si>
    <t>Fire Arms - Traffic and Law Enforcement</t>
  </si>
  <si>
    <t>New-100</t>
  </si>
  <si>
    <t>Ilitha North 177 Units</t>
  </si>
  <si>
    <t>Tyutyu Phase 3 P1 &amp; P3 Units</t>
  </si>
  <si>
    <t>Westbank Restitution - P1 &amp; P3</t>
  </si>
  <si>
    <t>Block Yard TRA - P1 &amp; P3</t>
  </si>
  <si>
    <t>DVRI Pilot Project (Mekeni, Haven Hills, Competition Site) P1 &amp; P3</t>
  </si>
  <si>
    <t>MUNICIPAL MANAGER'S OFFICE</t>
  </si>
  <si>
    <t>Municipal Manager's Office</t>
  </si>
  <si>
    <t>New-320</t>
  </si>
  <si>
    <t xml:space="preserve">2014/2015 Draft Capital Budget </t>
  </si>
  <si>
    <t xml:space="preserve">2015/2016 Draft Capital Budget </t>
  </si>
  <si>
    <t xml:space="preserve">Neighbourhood Development Partnership </t>
  </si>
  <si>
    <t>Law Enforcement Services</t>
  </si>
  <si>
    <t>1,10</t>
  </si>
  <si>
    <t>Will provide ward no, as soon as land is availed/identified</t>
  </si>
  <si>
    <t>20, 46</t>
  </si>
  <si>
    <t>11, 12, 14, 17, 20, 20, 21, 22, 23, 30, 42,48 50</t>
  </si>
  <si>
    <t xml:space="preserve">24,26,31, 33, 35,36, 37, 38, 39, 40, 41, 49, 44, 43, 45, </t>
  </si>
  <si>
    <t>16, 18,29,35</t>
  </si>
  <si>
    <t>1,3,19,</t>
  </si>
  <si>
    <t>2,7,8,9,11,12</t>
  </si>
  <si>
    <t>10,15,29,28,36,46</t>
  </si>
  <si>
    <t>Reeston Phase 3 Stage 2 -P1 &amp; P3</t>
  </si>
  <si>
    <t>Mdantsane Zone 18 CC Phase 2 - P1 &amp; P3</t>
  </si>
  <si>
    <t>Second Creek (Turn Key) - P1 &amp; P3</t>
  </si>
  <si>
    <t>Sunny South - P1 &amp; P3</t>
  </si>
  <si>
    <t>Potsdam Ikhwezi Block 1 - P1 &amp; P3</t>
  </si>
  <si>
    <t>Potsdam Ikhwezi Block 2 - P1 &amp; P3</t>
  </si>
  <si>
    <t>Potsdam Village- P1 &amp; P3</t>
  </si>
  <si>
    <t>Potsdam North Kanana - P1</t>
  </si>
  <si>
    <t>Reeston Phase 3: Stage 2 - P1 &amp; P3</t>
  </si>
  <si>
    <t>Braelyn ext 10  - P1 &amp; P3</t>
  </si>
  <si>
    <t xml:space="preserve">C Section and Triangular Site - P1 &amp; P3 </t>
  </si>
  <si>
    <t>D Hostel - P1 &amp; P3</t>
  </si>
  <si>
    <t>EXECUTIVE SUPPORT SERVICES</t>
  </si>
  <si>
    <t>Executive Support Services</t>
  </si>
  <si>
    <t>Beneficiary Administration (Procure GPS Devices)</t>
  </si>
  <si>
    <t>Dimbaza Destitute 27 Units - P1 &amp; P3</t>
  </si>
  <si>
    <t>Housing Needs Database and Accreditation (Capacity Enhancement)</t>
  </si>
  <si>
    <t>Amalinda Co- Op</t>
  </si>
  <si>
    <t>Mdantsane Zone CC Phase 2 P1 &amp; P3</t>
  </si>
  <si>
    <t>Cluster 3 (Fynbos Informal 1, Fynbos Informal 2, Ndancama) P1 &amp; P3</t>
  </si>
  <si>
    <t>DVRI</t>
  </si>
  <si>
    <t>HSDG-Special Fund</t>
  </si>
  <si>
    <t>Reeston MPCC - DVRI</t>
  </si>
  <si>
    <t xml:space="preserve">Cluster 1 (Masibambane; Masibulele; Velwano; Ilinge and Dacawa) </t>
  </si>
  <si>
    <t xml:space="preserve">Cluster 2 (Chris Hani 3; Winnie Mandela;  Deluxolo Village; Sisulu Village; Francis Mei; Mahlangu Village, Mathemba Vuso, Gwentshe) </t>
  </si>
  <si>
    <t>IT Infrastructure Network Upgrade</t>
  </si>
  <si>
    <t>Computer Equipment - BCMM</t>
  </si>
  <si>
    <t xml:space="preserve">42,39,13,33,5 </t>
  </si>
  <si>
    <t>42,33,47,36,41,43,37,43,19,3</t>
  </si>
  <si>
    <t>TOTAL: MUNICIPAL MANAGERS 'OFFICE</t>
  </si>
  <si>
    <t>Renewal-40</t>
  </si>
  <si>
    <t>13,28,5,10,16,27,31,32,33,1,2,3,6,10,18,19,47</t>
  </si>
  <si>
    <t>34,37,38,39,40,41,43,44,49,35,11,12,13,14,42,48,50,17,20,23,1-25 &amp; 28,29,30,31, &amp; 33,27,31,33,36,1,2,7,14,17,20,21,22,23,30,2,8,25,34,44,41</t>
  </si>
  <si>
    <t>21,22,23,46,47,28</t>
  </si>
  <si>
    <t>VT</t>
  </si>
  <si>
    <t>05</t>
  </si>
  <si>
    <t>01</t>
  </si>
  <si>
    <t>001</t>
  </si>
  <si>
    <t>02</t>
  </si>
  <si>
    <t>04</t>
  </si>
  <si>
    <t>06</t>
  </si>
  <si>
    <t>07</t>
  </si>
  <si>
    <t>080</t>
  </si>
  <si>
    <t>070</t>
  </si>
  <si>
    <t>040</t>
  </si>
  <si>
    <t>030</t>
  </si>
  <si>
    <t>060</t>
  </si>
  <si>
    <t>050</t>
  </si>
  <si>
    <t>V1</t>
  </si>
  <si>
    <t>Duncan Village Proper</t>
  </si>
  <si>
    <t>Disaster Project</t>
  </si>
  <si>
    <t>Electronic Attandance Control System</t>
  </si>
  <si>
    <t>YTD Expenditure</t>
  </si>
  <si>
    <t>Available Budget</t>
  </si>
  <si>
    <t>Comments</t>
  </si>
  <si>
    <t>% Expenditue</t>
  </si>
  <si>
    <t xml:space="preserve">2013/2014 Approved Budget </t>
  </si>
  <si>
    <t>August Expenditure</t>
  </si>
  <si>
    <t>September Expenditure</t>
  </si>
  <si>
    <t>October Expenditure</t>
  </si>
  <si>
    <t>November Expenditure</t>
  </si>
  <si>
    <t>December Expenditure</t>
  </si>
  <si>
    <t>January Expenditure</t>
  </si>
  <si>
    <t>July  Expenditure</t>
  </si>
  <si>
    <t>February Expenditure</t>
  </si>
  <si>
    <t>March Expenditure</t>
  </si>
  <si>
    <t>April Expenditure</t>
  </si>
  <si>
    <t>May Expenditure</t>
  </si>
  <si>
    <t>June Expenditure</t>
  </si>
  <si>
    <t>Commitments as per Venus</t>
  </si>
  <si>
    <t>New Asset</t>
  </si>
  <si>
    <t>Yes</t>
  </si>
  <si>
    <t>USDG Service</t>
  </si>
  <si>
    <t>C5C</t>
  </si>
  <si>
    <t>2.1 - Office of The Municipal Manager &amp; Support Services</t>
  </si>
  <si>
    <t>3.2 - Office of The Chief Operations Officer</t>
  </si>
  <si>
    <t>3.3 - Housing Department</t>
  </si>
  <si>
    <t>5.6 - Management Information Services</t>
  </si>
  <si>
    <t>5.9 - Labour Relations</t>
  </si>
  <si>
    <t>6.9 - Sewerage Admin</t>
  </si>
  <si>
    <t>6.25 - Water Treatment Works</t>
  </si>
  <si>
    <t>6.36 - Roads and Stormwater Drainage</t>
  </si>
  <si>
    <t>6.43 - Fleet Management - Braelyn</t>
  </si>
  <si>
    <t>6.46 - Electricity Planning &amp; Design</t>
  </si>
  <si>
    <t>7.12 - Architecture</t>
  </si>
  <si>
    <t>7.13 - Land Administration</t>
  </si>
  <si>
    <t>7.30 - Transport Planning &amp; Operations Admin</t>
  </si>
  <si>
    <t>8.1 - Office of The Director of Health &amp; Public Safety</t>
  </si>
  <si>
    <t>8.15 - Traffic Administration</t>
  </si>
  <si>
    <t>9.2 - Cleansing Administration Support</t>
  </si>
  <si>
    <t>9.7 - Interments</t>
  </si>
  <si>
    <t>9.14 - Halls</t>
  </si>
  <si>
    <t>9.16 - Sportsfields</t>
  </si>
  <si>
    <t>9.27 - E.L Regional Waste Disposal Site &amp; Transfer Station</t>
  </si>
  <si>
    <t>Waste Water Management</t>
  </si>
  <si>
    <t>Budget and treasury</t>
  </si>
  <si>
    <t>CHIEF OPERATIONS OFFICE</t>
  </si>
  <si>
    <t>Upgrading of Dimbaza and Zwelitsha Stadium</t>
  </si>
  <si>
    <t>Upgrading of Floodlights at Victoria Grounds, Bhisho Stadium, Ginsberg stadium, Sisa Dukashe Stadium, Alfred Schoeman Stadium, North End Stadium, Jan Smuts Stadium, Amalinda Stadium, and Gompo Stadium</t>
  </si>
  <si>
    <t>Adjustment</t>
  </si>
  <si>
    <t xml:space="preserve">2013/2014 Rollover Adjustment Budget </t>
  </si>
  <si>
    <t>TOTAL : CAPITAL PROJECTS - ALL DIRECTORATES</t>
  </si>
  <si>
    <t>Asset Replacement</t>
  </si>
  <si>
    <t>Sewerage Admin</t>
  </si>
  <si>
    <t>West Bank Restitution - Water</t>
  </si>
  <si>
    <t>Water Admin</t>
  </si>
  <si>
    <t>Quinera Arterial Road</t>
  </si>
  <si>
    <t>Occupational Risk Mnagement</t>
  </si>
  <si>
    <t>002</t>
  </si>
  <si>
    <t>New-260</t>
  </si>
  <si>
    <t>New-360</t>
  </si>
  <si>
    <t>July  Expenditure(VAT inc.)</t>
  </si>
  <si>
    <t>August Expenditure ( VAT inc.)</t>
  </si>
  <si>
    <t>September Expenditure (VAT inc.)</t>
  </si>
  <si>
    <t>October Expenditure (VAT inc.)</t>
  </si>
  <si>
    <t>November Expenditure (VAT inc.)</t>
  </si>
  <si>
    <t>December Expenditure (VAT inc.)</t>
  </si>
  <si>
    <t>January Expenditure (VAT inc.)</t>
  </si>
  <si>
    <t>February Expenditure (VAT inc.)</t>
  </si>
  <si>
    <t>March Expenditure (VAT inc.)</t>
  </si>
  <si>
    <t xml:space="preserve">April Expenditure (VAT inc.) </t>
  </si>
  <si>
    <t>May Expenditure ( VAT inc.)</t>
  </si>
  <si>
    <t>June Expenditure ( VAT inc.)</t>
  </si>
  <si>
    <t>YTD Expenditure ( VAT inc.)</t>
  </si>
  <si>
    <t>Available Budget ( Budget -Expenditure including VAT)</t>
  </si>
  <si>
    <t>% Expenditue including VAT)</t>
  </si>
  <si>
    <t>1st Quarter Expenditure (Exc. VAT)</t>
  </si>
  <si>
    <t>1st Quarter Expenditure (incl. VAT)</t>
  </si>
  <si>
    <t>Development and Upgrading of Cemeteries(Inland, Midland and Coastal)</t>
  </si>
  <si>
    <t>Vat</t>
  </si>
  <si>
    <t>Reeston Phase 3 Stage 3 - P1 &amp; P3</t>
  </si>
  <si>
    <t xml:space="preserve">Commitments (Outstanding invoices for work done not yet paid) </t>
  </si>
  <si>
    <t>Development &amp; Transport Planning</t>
  </si>
  <si>
    <t>Adjustments</t>
  </si>
  <si>
    <t>USDG c/o</t>
  </si>
  <si>
    <t>Construction of Nompumelelo Halls</t>
  </si>
  <si>
    <t>17800 X240 Litre Wheelie Bins</t>
  </si>
  <si>
    <t>Renewal-190</t>
  </si>
  <si>
    <t xml:space="preserve">2016/2017 Draft Capital Budget </t>
  </si>
  <si>
    <t>Amalinda Fairlands Pi &amp; P2</t>
  </si>
  <si>
    <t>Mid-Year Adjustments</t>
  </si>
  <si>
    <t>2013/2014 Mid-Year Adjusted Budget</t>
  </si>
  <si>
    <t>Office Furniture and Equipment (Directorate)</t>
  </si>
  <si>
    <t>M</t>
  </si>
  <si>
    <t>N</t>
  </si>
  <si>
    <t>Funding</t>
  </si>
  <si>
    <t>2013/2014 Capital Budget</t>
  </si>
  <si>
    <t>2013/2014 Approved Budget</t>
  </si>
  <si>
    <t>2013/2014 Rollover Adjustment Budget</t>
  </si>
  <si>
    <t>2013/2014 Conditional Grants Rollover Adjustment Budget</t>
  </si>
  <si>
    <r>
      <t xml:space="preserve">2014/2015 </t>
    </r>
    <r>
      <rPr>
        <b/>
        <u/>
        <sz val="9"/>
        <color indexed="10"/>
        <rFont val="Arial"/>
        <family val="2"/>
      </rPr>
      <t>DoRA</t>
    </r>
  </si>
  <si>
    <t>2015/2016 Capital Budget</t>
  </si>
  <si>
    <t>NT</t>
  </si>
  <si>
    <t xml:space="preserve">Own Funds </t>
  </si>
  <si>
    <t>Own funds</t>
  </si>
  <si>
    <t>Total Own Funding</t>
  </si>
  <si>
    <t>Infrastructure Skills Development Grant</t>
  </si>
  <si>
    <t>Neigbourhood Development Partnership Grant</t>
  </si>
  <si>
    <t xml:space="preserve">Urban Settlement Development Grant </t>
  </si>
  <si>
    <t>Human Settlement Development Grant</t>
  </si>
  <si>
    <t>P</t>
  </si>
  <si>
    <t>Total Grants</t>
  </si>
  <si>
    <t>TOTAL PER FUNDING</t>
  </si>
  <si>
    <t>1. Executive Support Services</t>
  </si>
  <si>
    <t>TOTAL DIRECTORATES</t>
  </si>
  <si>
    <t>GRAND - TOTAL</t>
  </si>
  <si>
    <t>A5 - Schedule</t>
  </si>
  <si>
    <t>Budget Year  2013/14</t>
  </si>
  <si>
    <t>Budget Year  2014/15</t>
  </si>
  <si>
    <t>Capital Expenditure - Standard</t>
  </si>
  <si>
    <t>Governance and administration</t>
  </si>
  <si>
    <t>Budget and treasury office</t>
  </si>
  <si>
    <t>Community and public safety</t>
  </si>
  <si>
    <t>Sport and recreation</t>
  </si>
  <si>
    <t>Health</t>
  </si>
  <si>
    <t>Economic and environmental services</t>
  </si>
  <si>
    <t>Environmental protection</t>
  </si>
  <si>
    <t>Trading services</t>
  </si>
  <si>
    <t>Waste water management</t>
  </si>
  <si>
    <t>Waste management</t>
  </si>
  <si>
    <t>Total Capital Expenditure - Standard</t>
  </si>
  <si>
    <t>Funded by:</t>
  </si>
  <si>
    <t>National Government</t>
  </si>
  <si>
    <t>Provincial Government</t>
  </si>
  <si>
    <t>District Municipality</t>
  </si>
  <si>
    <t>Other transfers and grants</t>
  </si>
  <si>
    <t>Transfers recognised - capital</t>
  </si>
  <si>
    <t>Public contributions &amp; donations</t>
  </si>
  <si>
    <t>Borrowing</t>
  </si>
  <si>
    <t>Internally generated funds</t>
  </si>
  <si>
    <t>Total Capital Funding</t>
  </si>
  <si>
    <t>Heritage assets</t>
  </si>
  <si>
    <t>Investment properties</t>
  </si>
  <si>
    <t>Biological assets</t>
  </si>
  <si>
    <t>Intangibles</t>
  </si>
  <si>
    <t>SA - 34a - Schedule</t>
  </si>
  <si>
    <r>
      <t xml:space="preserve">Capital expenditure on </t>
    </r>
    <r>
      <rPr>
        <b/>
        <u/>
        <sz val="8"/>
        <color indexed="10"/>
        <rFont val="Arial Narrow"/>
        <family val="2"/>
      </rPr>
      <t>NEW</t>
    </r>
    <r>
      <rPr>
        <b/>
        <u/>
        <sz val="8"/>
        <rFont val="Arial Narrow"/>
        <family val="2"/>
      </rPr>
      <t xml:space="preserve"> </t>
    </r>
    <r>
      <rPr>
        <b/>
        <u/>
        <sz val="8"/>
        <color indexed="10"/>
        <rFont val="Arial Narrow"/>
        <family val="2"/>
      </rPr>
      <t>ASSETS</t>
    </r>
    <r>
      <rPr>
        <b/>
        <u/>
        <sz val="8"/>
        <rFont val="Arial Narrow"/>
        <family val="2"/>
      </rPr>
      <t xml:space="preserve"> by Asset Class/Sub-class</t>
    </r>
  </si>
  <si>
    <t>Infrastructure - Road transport</t>
  </si>
  <si>
    <t>Roads, Pavements &amp; Bridges</t>
  </si>
  <si>
    <t>Storm water</t>
  </si>
  <si>
    <t>Infrastructure - Electricity</t>
  </si>
  <si>
    <t>Generation</t>
  </si>
  <si>
    <t>Transmission &amp; Reticulation</t>
  </si>
  <si>
    <t>Street Lighting</t>
  </si>
  <si>
    <t>Infrastructure - Water</t>
  </si>
  <si>
    <t>Dams &amp; Reservoirs</t>
  </si>
  <si>
    <t>Water purification</t>
  </si>
  <si>
    <t>Reticulation</t>
  </si>
  <si>
    <t>Infrastructure - Sanitation</t>
  </si>
  <si>
    <t>Sewerage purification</t>
  </si>
  <si>
    <t>Infrastructure - Other</t>
  </si>
  <si>
    <t>Transportation</t>
  </si>
  <si>
    <t>Gas</t>
  </si>
  <si>
    <t>Parks &amp; gardens</t>
  </si>
  <si>
    <t>Sportsfields &amp; stadia</t>
  </si>
  <si>
    <t>Swimming pools</t>
  </si>
  <si>
    <t>Community halls</t>
  </si>
  <si>
    <t>Recreational facilities</t>
  </si>
  <si>
    <t>Fire, safety &amp; emergency</t>
  </si>
  <si>
    <t>Security and policing</t>
  </si>
  <si>
    <t>Buses</t>
  </si>
  <si>
    <t>Clinics</t>
  </si>
  <si>
    <t>Museums &amp; Art Galleries</t>
  </si>
  <si>
    <t>Social rental housing</t>
  </si>
  <si>
    <t>Buildings</t>
  </si>
  <si>
    <t>Housing development</t>
  </si>
  <si>
    <t>General vehicles</t>
  </si>
  <si>
    <t>Specialised vehicles</t>
  </si>
  <si>
    <t>Plant &amp; equipment</t>
  </si>
  <si>
    <t>Computers - hardware/equipment</t>
  </si>
  <si>
    <t>Furniture and other office equipment</t>
  </si>
  <si>
    <t>Abattoirs</t>
  </si>
  <si>
    <t>Markets</t>
  </si>
  <si>
    <t>Civic Land and Buildings</t>
  </si>
  <si>
    <t>Other Buildings</t>
  </si>
  <si>
    <t>Other Land</t>
  </si>
  <si>
    <t>Surplus Assets - (Investment or Inventory)</t>
  </si>
  <si>
    <t>Agricultural assets</t>
  </si>
  <si>
    <t>List sub-class</t>
  </si>
  <si>
    <t>Computers - software &amp; programming</t>
  </si>
  <si>
    <t>Other (list sub-class)</t>
  </si>
  <si>
    <t>Total Capital Expenditure on new assets</t>
  </si>
  <si>
    <t>Fire</t>
  </si>
  <si>
    <t>Conservancy</t>
  </si>
  <si>
    <t>Ambulances</t>
  </si>
  <si>
    <t>SA - 34b - Schedule</t>
  </si>
  <si>
    <r>
      <t xml:space="preserve">Capital expenditure on </t>
    </r>
    <r>
      <rPr>
        <b/>
        <u/>
        <sz val="8"/>
        <color indexed="10"/>
        <rFont val="Arial Narrow"/>
        <family val="2"/>
      </rPr>
      <t>RENEWAL OF EXISTING ASSETS</t>
    </r>
    <r>
      <rPr>
        <b/>
        <u/>
        <sz val="8"/>
        <rFont val="Arial Narrow"/>
        <family val="2"/>
      </rPr>
      <t xml:space="preserve"> by Asset Class/Sub-class</t>
    </r>
  </si>
  <si>
    <t>Total Capital Expenditure on renewal of assets</t>
  </si>
  <si>
    <t>Services</t>
  </si>
  <si>
    <t>Other - BCM Fleet</t>
  </si>
  <si>
    <t>Roads and Stormwater</t>
  </si>
  <si>
    <t>Renewal</t>
  </si>
  <si>
    <t>Q</t>
  </si>
  <si>
    <t xml:space="preserve"> KEY OBJECTIVES</t>
  </si>
  <si>
    <t>1.Municipal Transformation and Organisational Development</t>
  </si>
  <si>
    <t>2.Service Delivery and Basic Infrastructure</t>
  </si>
  <si>
    <t>3.Local Economic Development</t>
  </si>
  <si>
    <t>4.Municipal Financial Viability and Management</t>
  </si>
  <si>
    <t>5.Good Governance and public Participation</t>
  </si>
  <si>
    <t>TOTAL</t>
  </si>
  <si>
    <t>2016/2017 Capital Budget</t>
  </si>
  <si>
    <t>2016/2017 Draft Capital Budget</t>
  </si>
  <si>
    <t>Savings</t>
  </si>
  <si>
    <t>Tactic Radio Network</t>
  </si>
  <si>
    <t>Early Warning Systems</t>
  </si>
  <si>
    <t>Road Closure and Events Equipment</t>
  </si>
  <si>
    <t>Traffic Enforcement Equipment</t>
  </si>
  <si>
    <t>Fire Equipment</t>
  </si>
  <si>
    <t>Vehicle Pound</t>
  </si>
  <si>
    <t>Vehicle Test Station Equipment</t>
  </si>
  <si>
    <t xml:space="preserve">Upgrade Vehicle Test Station </t>
  </si>
  <si>
    <t xml:space="preserve">Bulk Sanitation Provision - Programme </t>
  </si>
  <si>
    <t>DoRA</t>
  </si>
  <si>
    <t>AH</t>
  </si>
  <si>
    <t>AI</t>
  </si>
  <si>
    <t>Aj</t>
  </si>
  <si>
    <t>AE</t>
  </si>
  <si>
    <t>AF</t>
  </si>
  <si>
    <t>2015/2016 Draft Capital Budget</t>
  </si>
  <si>
    <t>Diff</t>
  </si>
  <si>
    <t xml:space="preserve">2013/14 Conditional Grants Rollover Adjustment Budget  </t>
  </si>
  <si>
    <t xml:space="preserve"> Funding Source </t>
  </si>
  <si>
    <t>Rehabilitation of Midland Existing Municipal Buildings and Old Mutual Building (Finance)</t>
  </si>
  <si>
    <t xml:space="preserve">2017/2018 Draft Capital Budget </t>
  </si>
  <si>
    <t>R70mill from 15/16</t>
  </si>
  <si>
    <t>Asset Replacements - Insurance</t>
  </si>
  <si>
    <t xml:space="preserve">2018/2019 Draft Capital Budget </t>
  </si>
  <si>
    <t>Cost Centre No.</t>
  </si>
  <si>
    <t>Transport Planning</t>
  </si>
  <si>
    <t>F</t>
  </si>
  <si>
    <t>Waste Management / Refuse</t>
  </si>
  <si>
    <t xml:space="preserve">Bulk Water Provision - Programme </t>
  </si>
  <si>
    <t xml:space="preserve">Urban Roads - Programme </t>
  </si>
  <si>
    <t xml:space="preserve">Upgading of Mdantsane Roads </t>
  </si>
  <si>
    <t xml:space="preserve">Rehabilitation of BCMM Bridges </t>
  </si>
  <si>
    <t xml:space="preserve">INEP Electrification Programme </t>
  </si>
  <si>
    <t>Street Lighting and Highmasts within BCMM Areas of Supply - Informal Settlements</t>
  </si>
  <si>
    <t xml:space="preserve">Bulk Sanitation Provision - Replacing Existing Infrastructure </t>
  </si>
  <si>
    <t>Bulk Water Provision Replacing of Existing Infrastructure</t>
  </si>
  <si>
    <t>Bulk Electricity Infrastructure Upgrade - Replacing Existing Infrastructure</t>
  </si>
  <si>
    <t>Fire Engine</t>
  </si>
  <si>
    <t>2014-2017 DRAFT CAPITAL BUDGET</t>
  </si>
  <si>
    <t>BUFFALO CITY METROPOLITAN MUNICIPALITY</t>
  </si>
  <si>
    <t xml:space="preserve"> 2014/2015 - 2016/2017  CAPITAL BUDGET PER FUNDING SOURCE</t>
  </si>
  <si>
    <t xml:space="preserve"> 2014/2015 - 2016/2017  CAPITAL BUDGET PER DIRECTORATE</t>
  </si>
  <si>
    <t>Reeston Phase 3 Stage 3 P5</t>
  </si>
  <si>
    <t>Reeston Phase 3: Stage 2 - P5</t>
  </si>
  <si>
    <t>Ilitha Eradication of Wooden Houses to Formal Houses</t>
  </si>
  <si>
    <t>Tyutyu Phase 2 - P 5 (Top Structure)</t>
  </si>
  <si>
    <t>HSDG - Opex</t>
  </si>
  <si>
    <t>Ilitha North - 177 Units P5</t>
  </si>
  <si>
    <t>Sunny South -P5</t>
  </si>
  <si>
    <t xml:space="preserve">Cluster 1 (Masibambane; Masibulele; Velwano; Ilinge and Dacawa) P5 </t>
  </si>
  <si>
    <t>Potsdam Village Phase 1 &amp; 2 - P5</t>
  </si>
  <si>
    <t>Cluster 2 (Chris Hani 3; Winnie Mandela;  Deluxolo Village; Sisulu Village; Francis Mei; Mahlangu Village, Mathemba Vuso, Gwentshe) P5 (Name Change)</t>
  </si>
  <si>
    <t>Cluster 3 (Fynbos 1; Fynbos 2; Ndancama, ) P5</t>
  </si>
  <si>
    <t>Housing Needs Database and Accreditation</t>
  </si>
  <si>
    <t>Second Creek - P5</t>
  </si>
  <si>
    <t>Amalinda Co - Op P5</t>
  </si>
  <si>
    <t>Amalinda Fairlands  P5</t>
  </si>
  <si>
    <t>Braelyn Ext 10 North - P5</t>
  </si>
  <si>
    <t>C Section and Triangular Site - P5</t>
  </si>
  <si>
    <t>D Hostel - P5</t>
  </si>
  <si>
    <t>Mdantsane Zone 18CC - P5</t>
  </si>
  <si>
    <t>Potsdam Ikhwezi Block 1 - P5</t>
  </si>
  <si>
    <t>Potsdam Ikhwezi Block 2- P5</t>
  </si>
  <si>
    <t>Potsdam North Kanana - P5</t>
  </si>
  <si>
    <t>Dimbaza 110 -P 5 (Top Structure)</t>
  </si>
  <si>
    <t>Dimbaza Destitute 27 Units  - P5</t>
  </si>
  <si>
    <t>DVRI Pilot Project (Mekeni, Haven Hills, Competition Site) P5</t>
  </si>
  <si>
    <t>DVRI Planning Budget (FROM 8.7MIL)</t>
  </si>
  <si>
    <t>Beneficiary Registration DVRI Projects (Reeston, Cambridge, DVRI Pilot, Braelyn ext 10, C Section and Triangular Site, D Hostel)</t>
  </si>
  <si>
    <t>Beneficiary Registration (Potsdam Unit V, Cluster 3, Orange Groove, Mdantsane Zone CC, Cluster 1, Cluster 2, Peelton Cluster, Hanover, Skobeni, Sunny South, Ilitha North, Dimbaza 110, Dimbaza Phase 3,Potsdam Village; North Kanana, Ikhwezi Block 1 &amp; 2, Amalinda Co-op, Eradication of Wooden Houses to Formal Houses</t>
  </si>
  <si>
    <t>Reconstruction of Storm Damaged Houses</t>
  </si>
  <si>
    <t>Peelton Cluster (Majali, Mdange, Kwatrain, Nkqonqweni, Drayini &amp; Esixekweni) - P5</t>
  </si>
  <si>
    <t>Hanover - P5</t>
  </si>
  <si>
    <t>Skobeni - P5</t>
  </si>
  <si>
    <t>Relocation of beneficiaries to formal houses for all housing  programmes - All Projects</t>
  </si>
  <si>
    <t>MURP Sustainability Plan</t>
  </si>
  <si>
    <t>Beneficiary Education ( All Projects)</t>
  </si>
  <si>
    <t>Dept of LGTH - Opex</t>
  </si>
  <si>
    <t>ICT Networks and Communications for Call Centre</t>
  </si>
  <si>
    <t>IT Hardware for Call Centre</t>
  </si>
  <si>
    <t>IT Infrastructure Servers</t>
  </si>
  <si>
    <t xml:space="preserve"> 2014/2015 - 2016/2017  CAPITAL BUDGET PER SERVICE</t>
  </si>
  <si>
    <t>HSDG-(MPCC)</t>
  </si>
  <si>
    <t>Human Settlement Development Grant-MPCC</t>
  </si>
  <si>
    <t>Director's Office</t>
  </si>
  <si>
    <t>USD</t>
  </si>
  <si>
    <t>OPEX</t>
  </si>
  <si>
    <t>Upgrading of Beaches Facilities</t>
  </si>
  <si>
    <t>Upgrading of Zoo Facilities</t>
  </si>
  <si>
    <t>Upgrading of Phakamisa and Mount Coke sports fields</t>
  </si>
  <si>
    <t>Relocation of Aquarium</t>
  </si>
  <si>
    <t>Sports equipment and structures</t>
  </si>
  <si>
    <t>Refurbishment of Swimming Pools</t>
  </si>
  <si>
    <t>KWT Tanery Site</t>
  </si>
  <si>
    <t xml:space="preserve">Bulk Electricity Infrastructure Upgrade(Ring-Fenced 4% of the Total Electricity Revenue) </t>
  </si>
  <si>
    <t xml:space="preserve">INEP Electrification Programme  - Counterfunding </t>
  </si>
  <si>
    <t>Enabling Infrastructure Programme - LED</t>
  </si>
  <si>
    <t>Building Refurbishments and Upgrading of Lifts for BCMM Buildings</t>
  </si>
  <si>
    <t>Development and Upgrading of Community Halls - War Memorial Hall Upgrade of Parking Area, O.R.Tambo Hall Upgrade of Parking Area, Egoli Community Hall( New Hall), Needs Camp Community Hall Upgrade, Orient Theatre Upgrade, Continuation of KWT Town Hall and NU 5 Hall Mdantsane</t>
  </si>
  <si>
    <t>Public Transport Facilities</t>
  </si>
  <si>
    <t>PTISG</t>
  </si>
  <si>
    <t xml:space="preserve">Replacement of Lift Shoprite Building </t>
  </si>
  <si>
    <t>Projects Deleted from the list</t>
  </si>
  <si>
    <t>Renewal-70</t>
  </si>
  <si>
    <t>Renewal-60</t>
  </si>
  <si>
    <t>Renewal-30</t>
  </si>
  <si>
    <t>Renewal-50</t>
  </si>
  <si>
    <t>Furniture and Equipment - Project Management Office</t>
  </si>
  <si>
    <t>Partitioning of Offices for SCM</t>
  </si>
  <si>
    <t>CCTV Cameras for BCMM Cash Offices</t>
  </si>
  <si>
    <t>Replacement and Refurbishment of Bulk ELECT Infrastructure</t>
  </si>
  <si>
    <t>SCM Inventory Warehousing and Fencing</t>
  </si>
  <si>
    <t>BCMM Fleet, Plant and Specialised Equipment and Specialised Solid Waste Vehicles</t>
  </si>
  <si>
    <t xml:space="preserve">Reeston Phase 3: Stage 2 </t>
  </si>
  <si>
    <t xml:space="preserve">Reeston Phase 3 Stage 3 </t>
  </si>
  <si>
    <t xml:space="preserve">Reeston Phase 3 Stage 2 </t>
  </si>
  <si>
    <t xml:space="preserve">Potsdam Ikhwezi Block 1 </t>
  </si>
  <si>
    <t xml:space="preserve">Potsdam Ikhwezi Block 2 </t>
  </si>
  <si>
    <t xml:space="preserve">Potsdam North Kanana </t>
  </si>
  <si>
    <t xml:space="preserve">Dimbaza Destitute 27 Units </t>
  </si>
  <si>
    <t xml:space="preserve">DVRI Pilot Project (Mekeni, Haven Hills, Competition Site) </t>
  </si>
  <si>
    <t xml:space="preserve">C Section and Triangular Site </t>
  </si>
  <si>
    <t xml:space="preserve">D Hostel </t>
  </si>
  <si>
    <t xml:space="preserve">Mdantsane Zone 18 CC Phase 2 </t>
  </si>
  <si>
    <t xml:space="preserve">Block Yard TRA </t>
  </si>
  <si>
    <t xml:space="preserve">Amalinda Fairlands </t>
  </si>
  <si>
    <t xml:space="preserve">Second Creek (Turn Key) </t>
  </si>
  <si>
    <t xml:space="preserve">Braelyn ext 10  </t>
  </si>
  <si>
    <t xml:space="preserve">Sunny South </t>
  </si>
  <si>
    <t xml:space="preserve">Tyutyu Phase 3 </t>
  </si>
  <si>
    <t xml:space="preserve">Westbank Restitution </t>
  </si>
  <si>
    <t xml:space="preserve">Integrated Transport Plan Implementation Programme </t>
  </si>
  <si>
    <t xml:space="preserve">Oxford Street Mall (Pedestrianisation/Public Transport Zone) </t>
  </si>
  <si>
    <t xml:space="preserve">Northwest Expressway widening and extension to Amalinda Main Road </t>
  </si>
  <si>
    <t xml:space="preserve">Fitzpatrick Road/Currie Street Link Road (Sleeper Site) </t>
  </si>
  <si>
    <t xml:space="preserve">Non-Motorised Transport Facilities Implementation </t>
  </si>
  <si>
    <t xml:space="preserve">Traffic congestion improvements </t>
  </si>
  <si>
    <t xml:space="preserve">Bonza Bay Road LSDF traffic improvements </t>
  </si>
  <si>
    <t xml:space="preserve">Vincent and Berea LSDF traffic improvements </t>
  </si>
  <si>
    <t xml:space="preserve">KWT LSDF traffic improvements </t>
  </si>
  <si>
    <t xml:space="preserve">Mdantsane LSDF traffic improvements </t>
  </si>
  <si>
    <t xml:space="preserve">Bhisho LSDF traffic improvements </t>
  </si>
  <si>
    <t>Security Software</t>
  </si>
  <si>
    <t xml:space="preserve">IT Systems Intergration - (Process Implementation) </t>
  </si>
  <si>
    <t>Procurement of Graders for Rural Roads</t>
  </si>
  <si>
    <t>Rehabilitation of Rural Roads</t>
  </si>
  <si>
    <t>FEL Zoo - Aquarium</t>
  </si>
  <si>
    <t>Equipment for Jan Smuts Stadium</t>
  </si>
  <si>
    <t>LGTH</t>
  </si>
  <si>
    <t>Upgrade Water Supply in Rural Areas</t>
  </si>
  <si>
    <t>Human Settlements</t>
  </si>
  <si>
    <t>HUMAN SETTLEMENTS</t>
  </si>
  <si>
    <t xml:space="preserve">Local Government, Traditional Affairs and Housing </t>
  </si>
  <si>
    <t>DIRECTORATE OF ECONOMIC DEVELOPMENT</t>
  </si>
  <si>
    <t xml:space="preserve">TOTAL : ECONOMIC DEVELOPMENT </t>
  </si>
  <si>
    <t>2. Municipal Manager's Office</t>
  </si>
  <si>
    <t>3. Human Settlements</t>
  </si>
  <si>
    <t>4. Directorate of Financial Services</t>
  </si>
  <si>
    <t>5. Directorate of Corporate Services</t>
  </si>
  <si>
    <t>6. Directorate of Engineering Services</t>
  </si>
  <si>
    <t>7. Directorate of Development Planning</t>
  </si>
  <si>
    <t xml:space="preserve">8. Directorate of Economic Development </t>
  </si>
  <si>
    <t>9. Directorate of Health &amp; Public Safety</t>
  </si>
  <si>
    <t>10 .Directorate of Community Services</t>
  </si>
  <si>
    <t>Directorate of Economic Development</t>
  </si>
  <si>
    <t>TOTAL : HUMAN SETTLEMENTS</t>
  </si>
  <si>
    <t>TOTAL : FINANCIAL SERVICES</t>
  </si>
  <si>
    <t>27,1,41</t>
  </si>
  <si>
    <t>03</t>
  </si>
  <si>
    <t>4</t>
  </si>
  <si>
    <t>1502</t>
  </si>
  <si>
    <t>36</t>
  </si>
  <si>
    <t>1501</t>
  </si>
  <si>
    <t>67</t>
  </si>
  <si>
    <t>1503</t>
  </si>
  <si>
    <t>July 2014</t>
  </si>
  <si>
    <t>July 2014 (VAT incl)</t>
  </si>
  <si>
    <t>August 2014</t>
  </si>
  <si>
    <t>August 2014 (VAT incl)</t>
  </si>
  <si>
    <t>September 2014</t>
  </si>
  <si>
    <t>September 2014 (VAT incl)</t>
  </si>
  <si>
    <t>October 2014</t>
  </si>
  <si>
    <t>October 2014 (VAT incl)</t>
  </si>
  <si>
    <t>November 2014</t>
  </si>
  <si>
    <t>November 2014 (VAT incl)</t>
  </si>
  <si>
    <t>December 2014</t>
  </si>
  <si>
    <t>December 2014 (VAT incl)</t>
  </si>
  <si>
    <t xml:space="preserve">2014/2015 Approved Capital Budget </t>
  </si>
  <si>
    <t>January 2015</t>
  </si>
  <si>
    <t>January 2015 (VAT incl)</t>
  </si>
  <si>
    <t>February 2015</t>
  </si>
  <si>
    <t>February 2015 (VAT incl)</t>
  </si>
  <si>
    <t>March 2015</t>
  </si>
  <si>
    <t>March 2015 (VAT incl)</t>
  </si>
  <si>
    <t>April 2015 (VAT incl)</t>
  </si>
  <si>
    <t>April 2015</t>
  </si>
  <si>
    <t>May 2015</t>
  </si>
  <si>
    <t>May 2015 (VAT incl)</t>
  </si>
  <si>
    <t>June 2015</t>
  </si>
  <si>
    <t>June 2015 (VAT incl)</t>
  </si>
  <si>
    <t>YTD Expenditure (VAT incl)</t>
  </si>
  <si>
    <t>2014/2015 Approved Capital Budget</t>
  </si>
  <si>
    <t>ANNEXURE "E"</t>
  </si>
  <si>
    <t>YTD Expenditure (VAT) incl)</t>
  </si>
  <si>
    <t>Variance</t>
  </si>
  <si>
    <t>Variance ( VAT incl)</t>
  </si>
  <si>
    <t>% Expenditure</t>
  </si>
  <si>
    <t>% Expenditure (VAT incl)</t>
  </si>
  <si>
    <t>1.1 - Office of The Director of Executive Support</t>
  </si>
  <si>
    <t>1.11 - Development Co-Operation</t>
  </si>
  <si>
    <t>1.2 - Executive Mayor, Speaker &amp; Mayoral Committee</t>
  </si>
  <si>
    <t>1.8 - City Hall</t>
  </si>
  <si>
    <t xml:space="preserve">4.4 - Asset Risk &amp; Financial Services </t>
  </si>
  <si>
    <t>4.10 - Debtors Management Office</t>
  </si>
  <si>
    <t>4.3 - Budget Office</t>
  </si>
  <si>
    <t>4.7 - Salary Office</t>
  </si>
  <si>
    <t>5.1 - Office of The Director of Corporate Services</t>
  </si>
  <si>
    <t>5.10 - Organisational Development</t>
  </si>
  <si>
    <t>5.7 - H.R. Administration</t>
  </si>
  <si>
    <t>6.20 - Water Administration</t>
  </si>
  <si>
    <t>7.35 - Local Economic Development</t>
  </si>
  <si>
    <t>7.36 - Market</t>
  </si>
  <si>
    <t>8.13 - Fire and Rescue Services</t>
  </si>
  <si>
    <t>8.14 - Security Services</t>
  </si>
  <si>
    <t>8.18 - Vehicle Test Station / Examination</t>
  </si>
  <si>
    <t>8.4 - Health Support</t>
  </si>
  <si>
    <t>9.4 - Environmental Services</t>
  </si>
  <si>
    <t>9.22 - Cleansing Administration Support</t>
  </si>
  <si>
    <t>9.23 - Refuse Removal</t>
  </si>
  <si>
    <t>3.1 - Mdantsane Urban Renewal Unit</t>
  </si>
  <si>
    <t>4.1 - Office of The Director of Finance</t>
  </si>
  <si>
    <t>4.9 - Consolidated Billing &amp; Miscellaneous Revenue Office</t>
  </si>
  <si>
    <t>4.11 - Customer Care Office</t>
  </si>
  <si>
    <t>5.8 - Occupational Risk Management</t>
  </si>
  <si>
    <t>6.1 - Office of The Director of Engineering Services</t>
  </si>
  <si>
    <t>6.34 - Roads Administration</t>
  </si>
  <si>
    <t>7.1 - Office of The Director of Planning &amp; Economic Dev.</t>
  </si>
  <si>
    <t>7.16 - Building Maintenance - Coastal / Central</t>
  </si>
  <si>
    <t>8.16 - Traffic Control</t>
  </si>
  <si>
    <t>9.1 - Office of The Director of Community Services</t>
  </si>
  <si>
    <t>9.20 - Beaches</t>
  </si>
  <si>
    <t>9.19 - Zoo</t>
  </si>
  <si>
    <t>9.18 - Aquarium</t>
  </si>
  <si>
    <t>9.17 - Swimming Pools</t>
  </si>
  <si>
    <t>Office Furniture and Equipment (Solid Waste Management)</t>
  </si>
  <si>
    <t>C5</t>
  </si>
  <si>
    <t>Office Furniture and Equipment (Health)</t>
  </si>
  <si>
    <t>Office Furniture and Equipment (Fire &amp; Rescue Sercices)</t>
  </si>
  <si>
    <t>Office Furniture and Equipment (GM Public Safety)</t>
  </si>
  <si>
    <t>Office Furniture and Equipment (Law Enforcement)</t>
  </si>
  <si>
    <t>Air Monitoring Station</t>
  </si>
  <si>
    <t>Office Furniture and Equipment (Disaster Management)</t>
  </si>
  <si>
    <t>Office Furniture and Equipment (Traffic Services)</t>
  </si>
  <si>
    <t>Office of the Director of Health &amp; Public Safety</t>
  </si>
  <si>
    <t>Health Administration</t>
  </si>
  <si>
    <t>Public Safety Administration</t>
  </si>
  <si>
    <t>Fire &amp; Rescue Services</t>
  </si>
  <si>
    <t>Traffic Administration</t>
  </si>
  <si>
    <t>Traffic Control</t>
  </si>
  <si>
    <t>Environmental Health</t>
  </si>
  <si>
    <t>Disaster Management</t>
  </si>
  <si>
    <t>Vehicle Test Station / Examination</t>
  </si>
  <si>
    <t>Environmental Administration Support</t>
  </si>
  <si>
    <t>Beaches</t>
  </si>
  <si>
    <t>Zoo</t>
  </si>
  <si>
    <t>Aquarium</t>
  </si>
  <si>
    <t>Swimming Pools</t>
  </si>
  <si>
    <t>8.3 - Health Administration</t>
  </si>
  <si>
    <t>8.23 - Disaster Management</t>
  </si>
  <si>
    <t>8.12 - Public Safety Administration</t>
  </si>
  <si>
    <t>Project on design stage.</t>
  </si>
  <si>
    <t>Procurement process underway</t>
  </si>
  <si>
    <t>The department is in the process of procuring furniture</t>
  </si>
  <si>
    <t>DIRECTORATE OF HUMAN SETTLEMENTS</t>
  </si>
  <si>
    <t>DIRECTORATE OF EXECUTIVE SUPPORT SERVICES</t>
  </si>
  <si>
    <t>MUNICIPAL MANAGERS 'OFFICE</t>
  </si>
  <si>
    <t>Upgrading of Waterworld</t>
  </si>
  <si>
    <t>Electricity Administration</t>
  </si>
  <si>
    <t>Internal Audit</t>
  </si>
  <si>
    <t>Research Policy &amp; Knowledge Management Unit</t>
  </si>
  <si>
    <t>2014/2015 Rollover Adjustment  Budget</t>
  </si>
  <si>
    <t>2014/2015 Rollover Adjustment Budget</t>
  </si>
  <si>
    <t>Office Furniture and Equipment (Councillors)</t>
  </si>
  <si>
    <t>Own Funds c/o</t>
  </si>
  <si>
    <t>Back up Generator</t>
  </si>
  <si>
    <t>Councillors Office Accomodation</t>
  </si>
  <si>
    <t>Garcia Flats</t>
  </si>
  <si>
    <t>Leiden c/o</t>
  </si>
  <si>
    <t>Refurbishment of all Rental Stock</t>
  </si>
  <si>
    <t>HSDG c/o</t>
  </si>
  <si>
    <t>Human Settlement Development Grant c/o</t>
  </si>
  <si>
    <t xml:space="preserve">Reeston Phase 3 Stage 3 - P1 &amp; P3 </t>
  </si>
  <si>
    <t>C Section and Triangular Site P1-P3</t>
  </si>
  <si>
    <t>D Hostel P1 &amp; P3</t>
  </si>
  <si>
    <t>Braelyn ext 10 - P1 &amp; P3</t>
  </si>
  <si>
    <t>Office Furniture and Equipment</t>
  </si>
  <si>
    <t>IT Infrastructure  Upgrade</t>
  </si>
  <si>
    <t>Duncan Village ICT Centre - DVRI</t>
  </si>
  <si>
    <t>IT Systerms - ( Anti Virus)</t>
  </si>
  <si>
    <t>Upgrading of Laboratory Infrastructure</t>
  </si>
  <si>
    <t>BCMM Fleet</t>
  </si>
  <si>
    <t>Electricity Dept. - Specialised Plant and Equipment</t>
  </si>
  <si>
    <t>Upgrading of the City Hall</t>
  </si>
  <si>
    <t>BCMET Roads</t>
  </si>
  <si>
    <t>Closed Circuit Television Network - CCTV c/o</t>
  </si>
  <si>
    <t>Municipal Health Services - IT &amp; Database Development</t>
  </si>
  <si>
    <t>KWT Fire Station</t>
  </si>
  <si>
    <t>Learners Licence Centre - Mdantsane</t>
  </si>
  <si>
    <t>Security Equipment - DVRI</t>
  </si>
  <si>
    <t>Cemetery Vehicles</t>
  </si>
  <si>
    <t xml:space="preserve">Reeston Community Hall Renovations </t>
  </si>
  <si>
    <t>Continuation of Refurbishment of KWT Hall / Cambridge</t>
  </si>
  <si>
    <t>Completion of Upgrading of 2010 Stadium</t>
  </si>
  <si>
    <t>DSRAC c/o</t>
  </si>
  <si>
    <t>Department of Sports, Recreation, Arts and Culture c/o</t>
  </si>
  <si>
    <t>Upgrading of Resort and Purchase of Equipment</t>
  </si>
  <si>
    <t>Grass Cutting Equipment</t>
  </si>
  <si>
    <t>Upgrade &amp; Refurbishment Disposal Sites - Phase 2 - Design &amp; Construction of 3rd and 4th Cell and Ancillary Works</t>
  </si>
  <si>
    <t>Solid Waste Programme- Weigh Bridge KWT</t>
  </si>
  <si>
    <t>Waste Management Programme - Plant and Equipment</t>
  </si>
  <si>
    <t>Counterfunding - Leiden Twinning - Solid Waste Drop-Off Points</t>
  </si>
  <si>
    <t>Specialised Solid Waste Vehicles</t>
  </si>
  <si>
    <t>Acquisition of Solid Waste Plant</t>
  </si>
  <si>
    <t>Solid Waste Mechanical Plant and Vehicles</t>
  </si>
  <si>
    <t>Replacement of 2X Bush Fire Vehicles written off</t>
  </si>
  <si>
    <t>Replacement of 5X Air Conditioners</t>
  </si>
  <si>
    <t>Replacement of Stove and Fridge</t>
  </si>
  <si>
    <t>Replacement of Vehicle</t>
  </si>
  <si>
    <t>TOTAL : BCMM CAPITAL BUDGET</t>
  </si>
  <si>
    <t>BCMET c/o</t>
  </si>
  <si>
    <t>Debtors Management Office</t>
  </si>
  <si>
    <t>Replacement of Laptop - Z. Mjali - A14/12</t>
  </si>
  <si>
    <t>Reeston Phase 3 Bulk Services Sewer</t>
  </si>
  <si>
    <t>Diversion of Amalinda &amp; Wilsonia Effluent</t>
  </si>
  <si>
    <t>Eastern Beach Sewers</t>
  </si>
  <si>
    <t>Sludge Handling &amp; Chlorination Facilities</t>
  </si>
  <si>
    <t>Ablution Blocks</t>
  </si>
  <si>
    <t>Berlin Sewers</t>
  </si>
  <si>
    <t>Upgrade Mdantsane Roads</t>
  </si>
  <si>
    <t>Fleet Street</t>
  </si>
  <si>
    <t>Gonubie Main Road</t>
  </si>
  <si>
    <t>Development Co-Oeration</t>
  </si>
  <si>
    <t>Office of the Director of Executive Support Services</t>
  </si>
  <si>
    <t>Counsillors</t>
  </si>
  <si>
    <t>Scientific Services</t>
  </si>
  <si>
    <t>Office of the Director of Engineering Services</t>
  </si>
  <si>
    <t>New-311</t>
  </si>
  <si>
    <t>5.4 - Auxilliary &amp; Telecommunication Support</t>
  </si>
  <si>
    <t>7.11 - City Planning</t>
  </si>
  <si>
    <t>Work has been suspended due to land claim by the community of Amahleke Tribal Authority</t>
  </si>
  <si>
    <t>This project is in process, designs have been submitted to service departments for approval</t>
  </si>
  <si>
    <t>The project is at design stage.</t>
  </si>
  <si>
    <t>Project is at completion stage, awaiting final claims from the service provider.</t>
  </si>
  <si>
    <t>Project at planning stage.</t>
  </si>
  <si>
    <t>Project on pre-planning stage for the approval of general plans.</t>
  </si>
  <si>
    <t>Service provider has been appointed.</t>
  </si>
  <si>
    <t>USDG  CAPITAL BUDGET PER SERVICE</t>
  </si>
  <si>
    <t xml:space="preserve">Projects on going. Annual contractor has been appointed and is implementing project-Multi year ongoing project.
</t>
  </si>
  <si>
    <t xml:space="preserve">The Ablution Blocks project on going. Annual contractors have been appointed for provision of Ablution Facilities and fencing </t>
  </si>
  <si>
    <t>Waiting for information from Operations on Claims</t>
  </si>
  <si>
    <t>RDP Houses- Roads Refurbishment</t>
  </si>
  <si>
    <t>West Bank Restitution Sewer Infrastructure</t>
  </si>
  <si>
    <t>Quinera WWTW</t>
  </si>
  <si>
    <t>Gqozo Village Phase 2</t>
  </si>
  <si>
    <t>Replacement of Laptop - LT Sikhinzi - A13/116</t>
  </si>
  <si>
    <t>Consolidated Billing and Miscellaneous Revenue Office</t>
  </si>
  <si>
    <t>Replacement of Laptop S. Peter - A14/15</t>
  </si>
  <si>
    <t>Replacement of Laptop V. Forosi - A13/78</t>
  </si>
  <si>
    <t>Procurement process underway.</t>
  </si>
  <si>
    <t>Project completed.</t>
  </si>
  <si>
    <t>Meetings with DVRI to be arranged in order obtain security equipment requirements.</t>
  </si>
  <si>
    <t xml:space="preserve">Replacement of the City Hall roof project underway. </t>
  </si>
  <si>
    <t>Professional service provider signed acceptance of appointment letter on 4 August 2014. Designs and specifications are now underway.</t>
  </si>
  <si>
    <t>Work to be continued on Amalinda Main Road sidewalk project. Works instruction requested.</t>
  </si>
  <si>
    <t>Project in progress</t>
  </si>
  <si>
    <t xml:space="preserve">Awaiting delivery </t>
  </si>
  <si>
    <t>CAPITAL EXPENDITURE REPORT AS AT 31 OCTOBER 2014</t>
  </si>
  <si>
    <t>Replacement of Laptop P. Dawethi - A14/14</t>
  </si>
  <si>
    <t>Replacement of CPU &amp; Monitor - A12/110</t>
  </si>
  <si>
    <t>Local Economic Development</t>
  </si>
  <si>
    <t>Replacement of 2 x Laptops - LED A13/86</t>
  </si>
  <si>
    <t>Mdantsane Urban Renuwal Unit</t>
  </si>
  <si>
    <t>Replacement of Laptop F. Melane - A14/25</t>
  </si>
  <si>
    <t>Replacement of CPU &amp; Monitor - A14/32</t>
  </si>
  <si>
    <t>Replacement of V3030 &amp; V3018 - Written off - M12/203 &amp; M12/233</t>
  </si>
  <si>
    <t>Office of the Director of Executive Support</t>
  </si>
  <si>
    <t>Public Relations &amp; International Events</t>
  </si>
  <si>
    <t>Replacement of Laptop J.A. Benneck - A14/30</t>
  </si>
  <si>
    <t>Replacement of 2 x Cameras - A14/29</t>
  </si>
  <si>
    <t>Awaiting delivery of vehicles and  delivery of Laptops for new EPMO staff.</t>
  </si>
  <si>
    <t>Procurement process underway. Requistion submitted to SCM.</t>
  </si>
  <si>
    <t>Procurement process underway. Requisitions have been submitted to SCM</t>
  </si>
  <si>
    <t>Amount is to be transferred to IT for the maintanance and support of the MHS Software.</t>
  </si>
  <si>
    <t xml:space="preserve">Response received from Transnet Port Terminals regarding installation of Relay Station on grain elevators, however site rental costs will be too excessive. Land Administration have therefore been requested to assist department in obtaining alternative suitable site, with Seaview Heights being preferred site at present.  </t>
  </si>
  <si>
    <t>Procurement process underway. Informal tender submitted</t>
  </si>
  <si>
    <t>Still under procurement process.</t>
  </si>
  <si>
    <t>Meeting held with the Service Provider and installation of the Generator is due by December 2014.</t>
  </si>
  <si>
    <t>The project is in process. Service provider as been appointed with the help of building maintenance.</t>
  </si>
  <si>
    <t>The contractor is on site, progressing very well and is anticipated to hand over 131 serviced sites end November 2014.</t>
  </si>
  <si>
    <t>Consultant is busy with designs  for services and top structure</t>
  </si>
  <si>
    <t>Geotechnical investigation has been completed, consultant is busy with designs of services and top Structure</t>
  </si>
  <si>
    <t>Geotechnical investigation and survey has been completed, consultant to resume with designs.</t>
  </si>
  <si>
    <t>Contractor has been appointed and introduced to communities and PSC.</t>
  </si>
  <si>
    <t>Annual contractors are on site busy with the construction of roads.</t>
  </si>
  <si>
    <t>The project is at construction stage, contractor on site progressing with construction of both internal services and top structure .</t>
  </si>
  <si>
    <t>Contractor is busy with site establishment.</t>
  </si>
  <si>
    <t>Project is on bulk implementation stage.</t>
  </si>
  <si>
    <t>Two chainsaws have been purchased and received.</t>
  </si>
  <si>
    <t>Awaiting Service Provider to Deliver equipment.</t>
  </si>
  <si>
    <t xml:space="preserve">The delivery have delayed and expected by end of April 2014. </t>
  </si>
  <si>
    <t>The laptop has been replaced.</t>
  </si>
  <si>
    <t>Project progressing well, 70% complete.</t>
  </si>
  <si>
    <t>Annual contractor on site to complete the outstanding works.</t>
  </si>
  <si>
    <t>Project complete, expenditure to reflect by November 2014</t>
  </si>
  <si>
    <t xml:space="preserve">Replacement of old water mains &amp; water meters and installation of zonal &amp; new domestic water meters is progressing well.  </t>
  </si>
  <si>
    <t xml:space="preserve">Project delayed,  institution to  utilize other implementation mechanisms. </t>
  </si>
  <si>
    <t>50% of Electrical projects prepared and at various installation stages - balance project at design &amp; planning stage - long delivery items; orders submitted to SCM expected delivery first batch 3 Nov 14  - switchboard panels ordered delivery 2015</t>
  </si>
  <si>
    <t>75 % Electrical projects prepared and at various installation stages - 25% identified @ design &amp; planning stage - long delivery items; orders submitted to SCM expected delivery first batch 3 Nov 14  - RMU request submitted to contact delivery week of the 8th Sept 14</t>
  </si>
  <si>
    <t xml:space="preserve">DoE has advise on revised allocation, waiting for confirmation - Completion of ED329 &amp; ED373 Queenspark Projects / Installation of Queenspark Cable / Electrification Duncan Village, Second Creek, Infills BCMM area </t>
  </si>
  <si>
    <t>Electrification projects Duncan Village / Mdantsane Zone 1 &amp; 3 / Phakamisa to be cancelled</t>
  </si>
  <si>
    <t>Procurement process will commence after office accommodation is finalised.</t>
  </si>
  <si>
    <t>Laptop replaced</t>
  </si>
  <si>
    <t>Procurement processes underway</t>
  </si>
  <si>
    <t>800m x 5.5 Road Refurbishment has been completed at Sandile Road, Mdantsane.  Project near completion</t>
  </si>
  <si>
    <t xml:space="preserve">The 951 serviced sites that were implemented by the annual contractors are at practical completion for water and sewer services. The contractor is on site finalising the snag list. </t>
  </si>
  <si>
    <t>Work progressing well, more invoices submitted for processing</t>
  </si>
  <si>
    <t>Project  ongoing, Settlers Pedestrian Bridge repaired, expenditure to reflect by  end November 2014.</t>
  </si>
  <si>
    <t xml:space="preserve">Orders have been issued. Expenditure expected to  be reflect by end November 2014. </t>
  </si>
  <si>
    <t>Work progressing well.</t>
  </si>
  <si>
    <t xml:space="preserve">Work progressing well, though minor delays due to  weather.Additional funding will be required for completion of the project. </t>
  </si>
  <si>
    <t>Project under litigation, institution looking at finalizing the matter before re-advertising .</t>
  </si>
  <si>
    <t xml:space="preserve">PSP for the design of Kei Road Treatment plant is busy with the design report.                                                                                                                                                                                                                                       Relocation of Midblock mains in Dimbaza &amp; Ilitha will commence on the first week of November 2014.                                                                                                                                                                                                                                                     PSP for the Design &amp; Implementation of Amahleke Water regional storage is currently busy with the Preliminary report.                                                                                                                                                                                                 Tenders for Bulk water supply to coastal areas are at procurement stage and Water supply to Komashini is practically completed.  Contractor implementing the upgrading of BRPS manifolds is underway and the upgrading of UWTW is underway.                                                                                                                                                                                                                                                                                                                                                                                                                                                                 </t>
  </si>
  <si>
    <t xml:space="preserve">Procurement process underway </t>
  </si>
  <si>
    <t>Tender has been awarded.</t>
  </si>
  <si>
    <t>The department has engaged the Roads Construction branch for the development and upgrading of roads in the Fort Jackson Nu15 extension and Steve Biko extension. A service provider has been appointed and the  development and upgrading of the roads will presume in November.</t>
  </si>
  <si>
    <t xml:space="preserve"> Awaiting delivery.</t>
  </si>
  <si>
    <t xml:space="preserve">Procurement process underway. </t>
  </si>
  <si>
    <t xml:space="preserve">Traffic calming programme has been completed in Sweetwaters, Beacon Bay, Braelynn, Cambridge, and Duncan Village.  Sidewalks programme has commenced in Potsdam Village area and in Scenery Park. Awaiting orders for NU2 and Phakamisa. Traffic Signage programme has commenced and is at design stage.Procurement process is underway for  Signal cable.KwaTshatshu Bridge was awarded 1 August 2014, inception stage complete,feasibility study report approved and detailed design stage has commenced. </t>
  </si>
  <si>
    <t>Procurement processs underway.</t>
  </si>
  <si>
    <t>Work is progressing well</t>
  </si>
  <si>
    <t>Work is progressing well on site</t>
  </si>
  <si>
    <t>95% of the budget has been spent</t>
  </si>
  <si>
    <t>Waste Water Infrastructure Capacity (KWT Reg Scheme)</t>
  </si>
  <si>
    <t>Mdantsane Infrastructure- Refurbishment/ Augmentation</t>
  </si>
  <si>
    <t>Sanitation Backlog Eradication - (Coastal)</t>
  </si>
  <si>
    <t xml:space="preserve">CPU has been replaced. </t>
  </si>
  <si>
    <t>The contractor is on site, construction in progress</t>
  </si>
  <si>
    <t xml:space="preserve">Research is underway, which will culminate in Procurement </t>
  </si>
  <si>
    <t>Project is at design stage</t>
  </si>
  <si>
    <t>Replacement of furniture</t>
  </si>
  <si>
    <t>Procurement proces underway</t>
  </si>
  <si>
    <t>Project progressing well</t>
  </si>
  <si>
    <t>The 951 serviced sites that were implemented by the annual contractors are at practical completion for water and sewer services. The remaining sites will be finalised by the recently appointed implementing agent</t>
  </si>
  <si>
    <t>Funding is to be reallocated to DHPS</t>
  </si>
  <si>
    <t>Procurement underway</t>
  </si>
  <si>
    <t>Funds to be reallocated</t>
  </si>
  <si>
    <t>Construction in progress</t>
  </si>
  <si>
    <t xml:space="preserve">Funds are to be reallocated </t>
  </si>
  <si>
    <t>Construction underway</t>
  </si>
  <si>
    <t>Contractor on site, project will be completed in March 2015</t>
  </si>
  <si>
    <t>Expenditure will be incurred after additional office space has been obtained.</t>
  </si>
  <si>
    <t>Procurement of computers and other equipments underway.</t>
  </si>
  <si>
    <t xml:space="preserve">Projects on going and is progressing well </t>
  </si>
  <si>
    <t>Mechanical &amp; Electrical Works contract awarded.  The matter is under litigation that is being attended to</t>
  </si>
  <si>
    <t>Civil works on going, 48% complete. The matter is under litigation that is being attended to</t>
  </si>
  <si>
    <t>Phase 1A complete. Design for phase 2 completed.</t>
  </si>
  <si>
    <t>23 consortiums had been appointed,work progressing.</t>
  </si>
  <si>
    <t xml:space="preserve">PSP has been appointed.Project is progressing well. </t>
  </si>
  <si>
    <t>In progress, additional funding sought</t>
  </si>
  <si>
    <t>In progress</t>
  </si>
  <si>
    <t>Procurement of crane mechanism for two trucks underway</t>
  </si>
  <si>
    <t>Procurement process is underway</t>
  </si>
  <si>
    <t>PC's have been procurred and arrived at ICT on the 30 October 2014, waiting  for confirmation of  installation, invoices will be submitted.</t>
  </si>
  <si>
    <t>The monitor has been procured for Berlin Library and commissioned into use.Invoices to be submitted for processing</t>
  </si>
  <si>
    <t>Additional funding being sought</t>
  </si>
  <si>
    <t>Funding not sufficient, additional funding being  sought</t>
  </si>
  <si>
    <t>The project is progressing well</t>
  </si>
  <si>
    <t xml:space="preserve">Assessment report being  finalised </t>
  </si>
  <si>
    <t xml:space="preserve">Assessment report being finalised </t>
  </si>
  <si>
    <t>Insurance assesment report being finalised</t>
  </si>
  <si>
    <t>EPMO assisting the department in connection with this project , to be implemented soon</t>
  </si>
  <si>
    <t>Skips have now been delivered, awaiting invoices</t>
  </si>
  <si>
    <t>Wheelie Bins of contract  C3041 have been delivered and paid ; expecting further delivery in November 2014.</t>
  </si>
  <si>
    <t>This funding is to be used to replace assets iro insurance claims. Expenditure is incurred on receipt and processing of insurance claims</t>
  </si>
  <si>
    <t xml:space="preserve">% Expenditure </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</si>
</sst>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 &quot;-&quot;??_);_(@_)"/>
    <numFmt numFmtId="164" formatCode="_ * #,##0.00_ ;_ * \-#,##0.00_ ;_ * &quot;-&quot;??_ ;_ @_ "/>
    <numFmt numFmtId="165" formatCode="_(* #,##0,_);_(* \(#,##0,\);_(* &quot;–&quot;?_);_(@_)"/>
    <numFmt numFmtId="166" formatCode="&quot;R&quot;\ #,##0.00"/>
    <numFmt numFmtId="167" formatCode="###0"/>
    <numFmt numFmtId="168" formatCode="#,##0_ ;\-#,##0\ "/>
    <numFmt numFmtId="169" formatCode="_ * #,##0_ ;_ * \-#,##0_ ;_ * &quot;-&quot;??_ ;_ @_ "/>
  </numFmts>
  <fonts count="63" x14ac:knownFonts="1">
    <font>
      <sz val="10"/>
      <name val="Arial"/>
    </font>
    <font>
      <sz val="11"/>
      <color theme="1"/>
      <name val="Calibri"/>
      <family val="2"/>
      <scheme val="minor"/>
    </font>
    <font>
      <sz val="10"/>
      <name val="Arial"/>
      <family val="2"/>
    </font>
    <font>
      <sz val="10"/>
      <name val="Arial"/>
      <family val="2"/>
    </font>
    <font>
      <sz val="8"/>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MS Sans Serif"/>
      <family val="2"/>
    </font>
    <font>
      <sz val="11"/>
      <name val="Tahoma"/>
      <family val="2"/>
    </font>
    <font>
      <u/>
      <sz val="10"/>
      <color indexed="12"/>
      <name val="Arial"/>
      <family val="2"/>
    </font>
    <font>
      <b/>
      <u/>
      <sz val="12"/>
      <name val="Arial"/>
      <family val="2"/>
    </font>
    <font>
      <sz val="12"/>
      <name val="Arial"/>
      <family val="2"/>
    </font>
    <font>
      <b/>
      <sz val="12"/>
      <name val="Arial"/>
      <family val="2"/>
    </font>
    <font>
      <b/>
      <u/>
      <sz val="14"/>
      <name val="Arial"/>
      <family val="2"/>
    </font>
    <font>
      <sz val="14"/>
      <name val="Arial"/>
      <family val="2"/>
    </font>
    <font>
      <sz val="9"/>
      <name val="Arial"/>
      <family val="2"/>
    </font>
    <font>
      <b/>
      <u/>
      <sz val="10"/>
      <name val="Arial"/>
      <family val="2"/>
    </font>
    <font>
      <b/>
      <u/>
      <sz val="9"/>
      <color indexed="10"/>
      <name val="Arial"/>
      <family val="2"/>
    </font>
    <font>
      <b/>
      <sz val="10"/>
      <name val="Arial"/>
      <family val="2"/>
    </font>
    <font>
      <b/>
      <sz val="9"/>
      <name val="Arial"/>
      <family val="2"/>
    </font>
    <font>
      <b/>
      <sz val="10"/>
      <color indexed="10"/>
      <name val="Arial"/>
      <family val="2"/>
    </font>
    <font>
      <b/>
      <sz val="8"/>
      <name val="Arial"/>
      <family val="2"/>
    </font>
    <font>
      <b/>
      <sz val="8"/>
      <name val="Arial Narrow"/>
      <family val="2"/>
    </font>
    <font>
      <sz val="8"/>
      <name val="Arial Narrow"/>
      <family val="2"/>
    </font>
    <font>
      <b/>
      <u/>
      <sz val="8"/>
      <name val="Arial Narrow"/>
      <family val="2"/>
    </font>
    <font>
      <b/>
      <sz val="8"/>
      <color indexed="10"/>
      <name val="Arial"/>
      <family val="2"/>
    </font>
    <font>
      <b/>
      <u/>
      <sz val="8"/>
      <color indexed="10"/>
      <name val="Arial Narrow"/>
      <family val="2"/>
    </font>
    <font>
      <b/>
      <sz val="10"/>
      <color indexed="9"/>
      <name val="Arial"/>
      <family val="2"/>
    </font>
    <font>
      <sz val="10"/>
      <color indexed="9"/>
      <name val="Arial"/>
      <family val="2"/>
    </font>
    <font>
      <b/>
      <sz val="9"/>
      <color indexed="9"/>
      <name val="Arial"/>
      <family val="2"/>
    </font>
    <font>
      <u/>
      <sz val="12"/>
      <name val="Arial"/>
      <family val="2"/>
    </font>
    <font>
      <sz val="11"/>
      <color theme="1"/>
      <name val="Calibri"/>
      <family val="2"/>
      <scheme val="minor"/>
    </font>
    <font>
      <sz val="12"/>
      <color rgb="FFFF0000"/>
      <name val="Arial"/>
      <family val="2"/>
    </font>
    <font>
      <b/>
      <sz val="12"/>
      <color rgb="FFFF0000"/>
      <name val="Arial"/>
      <family val="2"/>
    </font>
    <font>
      <b/>
      <sz val="10"/>
      <color theme="0"/>
      <name val="Arial"/>
      <family val="2"/>
    </font>
    <font>
      <b/>
      <u/>
      <sz val="10"/>
      <color theme="0"/>
      <name val="Arial"/>
      <family val="2"/>
    </font>
    <font>
      <b/>
      <u/>
      <sz val="9"/>
      <color theme="0"/>
      <name val="Arial"/>
      <family val="2"/>
    </font>
    <font>
      <b/>
      <u/>
      <sz val="9"/>
      <color rgb="FFFF0000"/>
      <name val="Arial"/>
      <family val="2"/>
    </font>
    <font>
      <sz val="9"/>
      <color rgb="FFFF0000"/>
      <name val="Arial"/>
      <family val="2"/>
    </font>
    <font>
      <b/>
      <sz val="9"/>
      <color rgb="FFFF0000"/>
      <name val="Arial"/>
      <family val="2"/>
    </font>
    <font>
      <b/>
      <u/>
      <sz val="12"/>
      <color theme="0"/>
      <name val="Arial"/>
      <family val="2"/>
    </font>
    <font>
      <u/>
      <sz val="12"/>
      <color theme="0"/>
      <name val="Arial"/>
      <family val="2"/>
    </font>
    <font>
      <b/>
      <sz val="12"/>
      <color theme="0"/>
      <name val="Arial"/>
      <family val="2"/>
    </font>
    <font>
      <sz val="12"/>
      <color theme="0"/>
      <name val="Arial"/>
      <family val="2"/>
    </font>
    <font>
      <b/>
      <sz val="10"/>
      <color rgb="FFFF0000"/>
      <name val="Arial"/>
      <family val="2"/>
    </font>
    <font>
      <sz val="1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8"/>
        <bgColor indexed="64"/>
      </patternFill>
    </fill>
    <fill>
      <patternFill patternType="solid">
        <fgColor indexed="4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92D050"/>
        <bgColor indexed="64"/>
      </patternFill>
    </fill>
    <fill>
      <patternFill patternType="solid">
        <fgColor theme="0" tint="-0.499984740745262"/>
        <bgColor indexed="64"/>
      </patternFill>
    </fill>
    <fill>
      <patternFill patternType="solid">
        <fgColor rgb="FFFF0000"/>
        <bgColor indexed="64"/>
      </patternFill>
    </fill>
  </fills>
  <borders count="7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
      <left style="thin">
        <color indexed="8"/>
      </left>
      <right/>
      <top/>
      <bottom/>
      <diagonal/>
    </border>
    <border>
      <left style="thin">
        <color indexed="64"/>
      </left>
      <right style="thin">
        <color indexed="64"/>
      </right>
      <top/>
      <bottom style="double">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style="thin">
        <color indexed="64"/>
      </top>
      <bottom/>
      <diagonal/>
    </border>
    <border>
      <left style="hair">
        <color indexed="64"/>
      </left>
      <right style="hair">
        <color indexed="64"/>
      </right>
      <top/>
      <bottom style="hair">
        <color indexed="64"/>
      </bottom>
      <diagonal/>
    </border>
    <border>
      <left/>
      <right style="hair">
        <color indexed="64"/>
      </right>
      <top style="thin">
        <color indexed="64"/>
      </top>
      <bottom/>
      <diagonal/>
    </border>
    <border>
      <left/>
      <right style="hair">
        <color indexed="64"/>
      </right>
      <top/>
      <bottom/>
      <diagonal/>
    </border>
    <border>
      <left style="thin">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8"/>
      </right>
      <top style="medium">
        <color indexed="64"/>
      </top>
      <bottom style="medium">
        <color indexed="64"/>
      </bottom>
      <diagonal/>
    </border>
    <border>
      <left style="medium">
        <color indexed="8"/>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8"/>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style="medium">
        <color indexed="64"/>
      </right>
      <top style="medium">
        <color indexed="8"/>
      </top>
      <bottom style="medium">
        <color indexed="8"/>
      </bottom>
      <diagonal/>
    </border>
    <border>
      <left style="medium">
        <color indexed="8"/>
      </left>
      <right style="medium">
        <color indexed="8"/>
      </right>
      <top style="medium">
        <color indexed="64"/>
      </top>
      <bottom style="medium">
        <color indexed="64"/>
      </bottom>
      <diagonal/>
    </border>
    <border>
      <left style="medium">
        <color indexed="8"/>
      </left>
      <right style="medium">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8"/>
      </top>
      <bottom/>
      <diagonal/>
    </border>
    <border>
      <left/>
      <right style="thin">
        <color indexed="64"/>
      </right>
      <top style="double">
        <color indexed="64"/>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s>
  <cellStyleXfs count="677">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10" fillId="20" borderId="1" applyNumberFormat="0" applyAlignment="0" applyProtection="0"/>
    <xf numFmtId="0" fontId="11" fillId="21" borderId="2" applyNumberFormat="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3"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0" fontId="12" fillId="0" borderId="0" applyNumberFormat="0" applyFill="0" applyBorder="0" applyAlignment="0" applyProtection="0"/>
    <xf numFmtId="0" fontId="13" fillId="4"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26" fillId="0" borderId="0" applyNumberFormat="0" applyFill="0" applyBorder="0" applyAlignment="0" applyProtection="0">
      <alignment vertical="top"/>
      <protection locked="0"/>
    </xf>
    <xf numFmtId="0" fontId="17" fillId="7" borderId="1" applyNumberFormat="0" applyAlignment="0" applyProtection="0"/>
    <xf numFmtId="0" fontId="18" fillId="0" borderId="6" applyNumberFormat="0" applyFill="0" applyAlignment="0" applyProtection="0"/>
    <xf numFmtId="0" fontId="19" fillId="22" borderId="0" applyNumberFormat="0" applyBorder="0" applyAlignment="0" applyProtection="0"/>
    <xf numFmtId="0" fontId="24" fillId="0" borderId="0"/>
    <xf numFmtId="0" fontId="24"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4" fillId="0" borderId="0"/>
    <xf numFmtId="0" fontId="24" fillId="0" borderId="0"/>
    <xf numFmtId="0" fontId="2" fillId="0" borderId="0"/>
    <xf numFmtId="0" fontId="24" fillId="0" borderId="0"/>
    <xf numFmtId="0" fontId="24"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48" fillId="0" borderId="0"/>
    <xf numFmtId="0" fontId="2" fillId="0" borderId="0"/>
    <xf numFmtId="0" fontId="3" fillId="0" borderId="0"/>
    <xf numFmtId="0" fontId="2" fillId="0" borderId="0"/>
    <xf numFmtId="0" fontId="2" fillId="0" borderId="0"/>
    <xf numFmtId="0" fontId="48" fillId="0" borderId="0"/>
    <xf numFmtId="0" fontId="48" fillId="0" borderId="0"/>
    <xf numFmtId="0" fontId="48" fillId="0" borderId="0"/>
    <xf numFmtId="0" fontId="2" fillId="0" borderId="0"/>
    <xf numFmtId="0" fontId="48"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4" fillId="0" borderId="0"/>
    <xf numFmtId="0" fontId="2" fillId="0" borderId="0"/>
    <xf numFmtId="0" fontId="24" fillId="0" borderId="0"/>
    <xf numFmtId="0" fontId="24" fillId="0" borderId="0"/>
    <xf numFmtId="0" fontId="2" fillId="0" borderId="0"/>
    <xf numFmtId="0" fontId="24" fillId="0" borderId="0"/>
    <xf numFmtId="0" fontId="24" fillId="0" borderId="0"/>
    <xf numFmtId="0" fontId="2" fillId="0" borderId="0"/>
    <xf numFmtId="0" fontId="24" fillId="0" borderId="0"/>
    <xf numFmtId="0" fontId="24" fillId="0" borderId="0"/>
    <xf numFmtId="0" fontId="2"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 fillId="0" borderId="0"/>
    <xf numFmtId="0" fontId="3" fillId="0" borderId="0"/>
    <xf numFmtId="0" fontId="3" fillId="0" borderId="0"/>
    <xf numFmtId="0" fontId="2" fillId="0" borderId="0"/>
    <xf numFmtId="0" fontId="2" fillId="0" borderId="0"/>
    <xf numFmtId="0" fontId="3" fillId="0" borderId="0"/>
    <xf numFmtId="0" fontId="3" fillId="0" borderId="0"/>
    <xf numFmtId="0" fontId="2" fillId="0" borderId="0"/>
    <xf numFmtId="0" fontId="2" fillId="0" borderId="0"/>
    <xf numFmtId="0" fontId="3" fillId="0" borderId="0"/>
    <xf numFmtId="0" fontId="3" fillId="0" borderId="0"/>
    <xf numFmtId="0" fontId="2" fillId="0" borderId="0"/>
    <xf numFmtId="0" fontId="2" fillId="0" borderId="0"/>
    <xf numFmtId="0" fontId="3" fillId="0" borderId="0"/>
    <xf numFmtId="0" fontId="3" fillId="0" borderId="0"/>
    <xf numFmtId="0" fontId="2" fillId="0" borderId="0"/>
    <xf numFmtId="0" fontId="2" fillId="0" borderId="0"/>
    <xf numFmtId="0" fontId="3" fillId="0" borderId="0"/>
    <xf numFmtId="0" fontId="25" fillId="0" borderId="0"/>
    <xf numFmtId="0" fontId="25" fillId="0" borderId="0"/>
    <xf numFmtId="0" fontId="2" fillId="0" borderId="0"/>
    <xf numFmtId="0" fontId="3" fillId="0" borderId="0"/>
    <xf numFmtId="0" fontId="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 fillId="0" borderId="0"/>
    <xf numFmtId="0" fontId="3" fillId="0" borderId="0"/>
    <xf numFmtId="0" fontId="2" fillId="0" borderId="0"/>
    <xf numFmtId="0" fontId="2" fillId="0" borderId="0"/>
    <xf numFmtId="0" fontId="2" fillId="0" borderId="0"/>
    <xf numFmtId="0" fontId="5"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4" fillId="0" borderId="0"/>
    <xf numFmtId="0" fontId="24" fillId="0" borderId="0"/>
    <xf numFmtId="0" fontId="3" fillId="0" borderId="0"/>
    <xf numFmtId="0" fontId="24" fillId="0" borderId="0"/>
    <xf numFmtId="0" fontId="2" fillId="0" borderId="0"/>
    <xf numFmtId="0" fontId="2" fillId="0" borderId="0"/>
    <xf numFmtId="0" fontId="24" fillId="0" borderId="0"/>
    <xf numFmtId="0" fontId="24" fillId="0" borderId="0"/>
    <xf numFmtId="0" fontId="24" fillId="0" borderId="0"/>
    <xf numFmtId="0" fontId="3" fillId="0" borderId="0"/>
    <xf numFmtId="0" fontId="24" fillId="0" borderId="0"/>
    <xf numFmtId="0" fontId="2" fillId="0" borderId="0"/>
    <xf numFmtId="0" fontId="2" fillId="0" borderId="0"/>
    <xf numFmtId="0" fontId="24" fillId="0" borderId="0"/>
    <xf numFmtId="0" fontId="3" fillId="0" borderId="0"/>
    <xf numFmtId="0" fontId="24" fillId="0" borderId="0"/>
    <xf numFmtId="0" fontId="2" fillId="0" borderId="0"/>
    <xf numFmtId="0" fontId="2" fillId="0" borderId="0"/>
    <xf numFmtId="0" fontId="24" fillId="0" borderId="0"/>
    <xf numFmtId="0" fontId="24" fillId="0" borderId="0"/>
    <xf numFmtId="0" fontId="2" fillId="0" borderId="0"/>
    <xf numFmtId="0" fontId="24"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4"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24" fillId="0" borderId="0"/>
    <xf numFmtId="0" fontId="24" fillId="0" borderId="0"/>
    <xf numFmtId="0" fontId="2" fillId="0" borderId="0"/>
    <xf numFmtId="0" fontId="24" fillId="23" borderId="7" applyNumberFormat="0" applyFont="0" applyAlignment="0" applyProtection="0"/>
    <xf numFmtId="0" fontId="24" fillId="23" borderId="7" applyNumberFormat="0" applyFont="0" applyAlignment="0" applyProtection="0"/>
    <xf numFmtId="0" fontId="2" fillId="23" borderId="7" applyNumberFormat="0" applyFont="0" applyAlignment="0" applyProtection="0"/>
    <xf numFmtId="0" fontId="20" fillId="20" borderId="8"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9" fontId="62" fillId="0" borderId="0" applyFont="0" applyFill="0" applyBorder="0" applyAlignment="0" applyProtection="0"/>
    <xf numFmtId="0" fontId="1" fillId="0" borderId="0"/>
  </cellStyleXfs>
  <cellXfs count="518">
    <xf numFmtId="0" fontId="0" fillId="0" borderId="0" xfId="0"/>
    <xf numFmtId="0" fontId="28" fillId="0" borderId="0" xfId="0" applyFont="1" applyFill="1" applyAlignment="1">
      <alignment wrapText="1"/>
    </xf>
    <xf numFmtId="0" fontId="27" fillId="0" borderId="10" xfId="0" applyNumberFormat="1" applyFont="1" applyFill="1" applyBorder="1" applyAlignment="1" applyProtection="1">
      <alignment horizontal="left"/>
      <protection locked="0"/>
    </xf>
    <xf numFmtId="0" fontId="28" fillId="0" borderId="11" xfId="0" applyFont="1" applyFill="1" applyBorder="1" applyAlignment="1">
      <alignment horizontal="center" wrapText="1"/>
    </xf>
    <xf numFmtId="0" fontId="28" fillId="0" borderId="12" xfId="0" applyFont="1" applyFill="1" applyBorder="1" applyAlignment="1">
      <alignment horizontal="center" wrapText="1"/>
    </xf>
    <xf numFmtId="3" fontId="28" fillId="0" borderId="11" xfId="0" applyNumberFormat="1" applyFont="1" applyFill="1" applyBorder="1" applyAlignment="1">
      <alignment horizontal="center" wrapText="1"/>
    </xf>
    <xf numFmtId="168" fontId="28" fillId="0" borderId="11" xfId="0" applyNumberFormat="1" applyFont="1" applyFill="1" applyBorder="1" applyAlignment="1">
      <alignment horizontal="center" wrapText="1"/>
    </xf>
    <xf numFmtId="3" fontId="28" fillId="0" borderId="11" xfId="0" applyNumberFormat="1" applyFont="1" applyFill="1" applyBorder="1" applyAlignment="1">
      <alignment horizontal="right" wrapText="1"/>
    </xf>
    <xf numFmtId="0" fontId="28" fillId="0" borderId="11" xfId="0" applyNumberFormat="1" applyFont="1" applyFill="1" applyBorder="1" applyAlignment="1" applyProtection="1">
      <alignment wrapText="1"/>
      <protection locked="0"/>
    </xf>
    <xf numFmtId="0" fontId="28" fillId="0" borderId="13" xfId="0" applyFont="1" applyFill="1" applyBorder="1" applyAlignment="1">
      <alignment wrapText="1"/>
    </xf>
    <xf numFmtId="0" fontId="28" fillId="0" borderId="0" xfId="0" applyFont="1" applyFill="1" applyBorder="1" applyAlignment="1">
      <alignment wrapText="1"/>
    </xf>
    <xf numFmtId="0" fontId="28" fillId="0" borderId="11" xfId="0" quotePrefix="1" applyFont="1" applyFill="1" applyBorder="1" applyAlignment="1">
      <alignment horizontal="center" wrapText="1"/>
    </xf>
    <xf numFmtId="0" fontId="28" fillId="0" borderId="11" xfId="0" applyFont="1" applyFill="1" applyBorder="1" applyAlignment="1">
      <alignment wrapText="1"/>
    </xf>
    <xf numFmtId="1" fontId="28" fillId="0" borderId="13" xfId="0" applyNumberFormat="1" applyFont="1" applyFill="1" applyBorder="1" applyAlignment="1">
      <alignment horizontal="center" wrapText="1"/>
    </xf>
    <xf numFmtId="168" fontId="28" fillId="0" borderId="11" xfId="0" applyNumberFormat="1" applyFont="1" applyFill="1" applyBorder="1" applyAlignment="1">
      <alignment horizontal="right" wrapText="1"/>
    </xf>
    <xf numFmtId="9" fontId="28" fillId="0" borderId="11" xfId="0" applyNumberFormat="1" applyFont="1" applyFill="1" applyBorder="1" applyAlignment="1">
      <alignment horizontal="right" wrapText="1"/>
    </xf>
    <xf numFmtId="0" fontId="28" fillId="0" borderId="14" xfId="0" applyFont="1" applyFill="1" applyBorder="1" applyAlignment="1">
      <alignment horizontal="center" wrapText="1"/>
    </xf>
    <xf numFmtId="0" fontId="28" fillId="0" borderId="15" xfId="0" applyFont="1" applyFill="1" applyBorder="1" applyAlignment="1">
      <alignment horizontal="center" wrapText="1"/>
    </xf>
    <xf numFmtId="0" fontId="29" fillId="0" borderId="14" xfId="0" applyFont="1" applyFill="1" applyBorder="1" applyAlignment="1">
      <alignment wrapText="1"/>
    </xf>
    <xf numFmtId="0" fontId="28" fillId="0" borderId="14" xfId="0" applyFont="1" applyFill="1" applyBorder="1" applyAlignment="1">
      <alignment horizontal="left" wrapText="1"/>
    </xf>
    <xf numFmtId="3" fontId="29" fillId="0" borderId="14" xfId="0" applyNumberFormat="1" applyFont="1" applyFill="1" applyBorder="1" applyAlignment="1">
      <alignment horizontal="right" wrapText="1"/>
    </xf>
    <xf numFmtId="9" fontId="29" fillId="0" borderId="14" xfId="0" applyNumberFormat="1" applyFont="1" applyFill="1" applyBorder="1" applyAlignment="1">
      <alignment horizontal="right" wrapText="1"/>
    </xf>
    <xf numFmtId="0" fontId="27" fillId="0" borderId="11" xfId="0" applyFont="1" applyFill="1" applyBorder="1" applyAlignment="1"/>
    <xf numFmtId="0" fontId="27" fillId="0" borderId="11" xfId="0" applyFont="1" applyFill="1" applyBorder="1" applyAlignment="1">
      <alignment wrapText="1"/>
    </xf>
    <xf numFmtId="0" fontId="28" fillId="0" borderId="12" xfId="0" applyFont="1" applyFill="1" applyBorder="1" applyAlignment="1">
      <alignment wrapText="1"/>
    </xf>
    <xf numFmtId="1" fontId="28" fillId="0" borderId="11" xfId="0" applyNumberFormat="1" applyFont="1" applyFill="1" applyBorder="1" applyAlignment="1">
      <alignment horizontal="center" wrapText="1"/>
    </xf>
    <xf numFmtId="167" fontId="28" fillId="0" borderId="11" xfId="0" applyNumberFormat="1" applyFont="1" applyFill="1" applyBorder="1" applyAlignment="1" applyProtection="1">
      <alignment horizontal="center" wrapText="1"/>
      <protection locked="0"/>
    </xf>
    <xf numFmtId="3" fontId="28" fillId="0" borderId="11" xfId="0" applyNumberFormat="1" applyFont="1" applyFill="1" applyBorder="1" applyAlignment="1">
      <alignment wrapText="1"/>
    </xf>
    <xf numFmtId="0" fontId="28" fillId="0" borderId="14" xfId="0" applyFont="1" applyFill="1" applyBorder="1" applyAlignment="1">
      <alignment wrapText="1"/>
    </xf>
    <xf numFmtId="0" fontId="28" fillId="0" borderId="15" xfId="0" applyFont="1" applyFill="1" applyBorder="1" applyAlignment="1">
      <alignment wrapText="1"/>
    </xf>
    <xf numFmtId="1" fontId="28" fillId="0" borderId="14" xfId="0" applyNumberFormat="1" applyFont="1" applyFill="1" applyBorder="1" applyAlignment="1">
      <alignment horizontal="center" wrapText="1"/>
    </xf>
    <xf numFmtId="3" fontId="29" fillId="0" borderId="14" xfId="28" applyNumberFormat="1" applyFont="1" applyFill="1" applyBorder="1" applyAlignment="1">
      <alignment wrapText="1"/>
    </xf>
    <xf numFmtId="0" fontId="28" fillId="0" borderId="11" xfId="0" applyFont="1" applyFill="1" applyBorder="1" applyAlignment="1"/>
    <xf numFmtId="3" fontId="28" fillId="0" borderId="13" xfId="0" applyNumberFormat="1" applyFont="1" applyFill="1" applyBorder="1" applyAlignment="1">
      <alignment horizontal="right" wrapText="1"/>
    </xf>
    <xf numFmtId="1" fontId="28" fillId="0" borderId="0" xfId="0" applyNumberFormat="1" applyFont="1" applyFill="1" applyBorder="1" applyAlignment="1">
      <alignment horizontal="center" wrapText="1"/>
    </xf>
    <xf numFmtId="0" fontId="28" fillId="0" borderId="12" xfId="0" applyFont="1" applyFill="1" applyBorder="1" applyAlignment="1">
      <alignment horizontal="left" wrapText="1"/>
    </xf>
    <xf numFmtId="3" fontId="28" fillId="0" borderId="13" xfId="0" applyNumberFormat="1" applyFont="1" applyFill="1" applyBorder="1" applyAlignment="1">
      <alignment wrapText="1"/>
    </xf>
    <xf numFmtId="0" fontId="28" fillId="0" borderId="16" xfId="0" applyFont="1" applyFill="1" applyBorder="1" applyAlignment="1">
      <alignment wrapText="1"/>
    </xf>
    <xf numFmtId="0" fontId="28" fillId="0" borderId="17" xfId="0" applyFont="1" applyFill="1" applyBorder="1" applyAlignment="1">
      <alignment wrapText="1"/>
    </xf>
    <xf numFmtId="1" fontId="28" fillId="0" borderId="16" xfId="0" applyNumberFormat="1" applyFont="1" applyFill="1" applyBorder="1" applyAlignment="1">
      <alignment horizontal="center" wrapText="1"/>
    </xf>
    <xf numFmtId="1" fontId="28" fillId="0" borderId="17" xfId="0" applyNumberFormat="1" applyFont="1" applyFill="1" applyBorder="1" applyAlignment="1">
      <alignment horizontal="center" wrapText="1"/>
    </xf>
    <xf numFmtId="0" fontId="29" fillId="0" borderId="15" xfId="0" applyFont="1" applyFill="1" applyBorder="1" applyAlignment="1">
      <alignment wrapText="1"/>
    </xf>
    <xf numFmtId="3" fontId="29" fillId="0" borderId="14" xfId="0" applyNumberFormat="1" applyFont="1" applyFill="1" applyBorder="1" applyAlignment="1">
      <alignment wrapText="1"/>
    </xf>
    <xf numFmtId="0" fontId="27" fillId="0" borderId="12" xfId="0" applyFont="1" applyFill="1" applyBorder="1" applyAlignment="1">
      <alignment wrapText="1"/>
    </xf>
    <xf numFmtId="0" fontId="27" fillId="0" borderId="12" xfId="0" applyFont="1" applyFill="1" applyBorder="1" applyAlignment="1"/>
    <xf numFmtId="0" fontId="29" fillId="0" borderId="11" xfId="0" applyFont="1" applyFill="1" applyBorder="1" applyAlignment="1">
      <alignment horizontal="center" wrapText="1"/>
    </xf>
    <xf numFmtId="0" fontId="29" fillId="0" borderId="13" xfId="0" applyFont="1" applyFill="1" applyBorder="1" applyAlignment="1">
      <alignment wrapText="1"/>
    </xf>
    <xf numFmtId="0" fontId="29" fillId="0" borderId="0" xfId="0" applyFont="1" applyFill="1" applyBorder="1" applyAlignment="1">
      <alignment wrapText="1"/>
    </xf>
    <xf numFmtId="0" fontId="29" fillId="0" borderId="11" xfId="0" applyFont="1" applyFill="1" applyBorder="1" applyAlignment="1">
      <alignment vertical="top" wrapText="1"/>
    </xf>
    <xf numFmtId="1" fontId="28" fillId="0" borderId="13" xfId="0" applyNumberFormat="1" applyFont="1" applyFill="1" applyBorder="1" applyAlignment="1">
      <alignment horizontal="center" vertical="top" wrapText="1"/>
    </xf>
    <xf numFmtId="1" fontId="28" fillId="0" borderId="0" xfId="0" applyNumberFormat="1" applyFont="1" applyFill="1" applyBorder="1" applyAlignment="1">
      <alignment horizontal="center" vertical="top" wrapText="1"/>
    </xf>
    <xf numFmtId="0" fontId="28" fillId="0" borderId="11" xfId="0" applyFont="1" applyFill="1" applyBorder="1" applyAlignment="1">
      <alignment vertical="top" wrapText="1"/>
    </xf>
    <xf numFmtId="3" fontId="28" fillId="0" borderId="11" xfId="0" applyNumberFormat="1" applyFont="1" applyFill="1" applyBorder="1" applyAlignment="1">
      <alignment horizontal="right" vertical="top" wrapText="1"/>
    </xf>
    <xf numFmtId="1" fontId="28" fillId="0" borderId="12" xfId="0" applyNumberFormat="1" applyFont="1" applyFill="1" applyBorder="1" applyAlignment="1">
      <alignment wrapText="1"/>
    </xf>
    <xf numFmtId="3" fontId="29" fillId="0" borderId="11" xfId="0" applyNumberFormat="1" applyFont="1" applyFill="1" applyBorder="1" applyAlignment="1">
      <alignment horizontal="right" wrapText="1"/>
    </xf>
    <xf numFmtId="0" fontId="29" fillId="0" borderId="16" xfId="0" applyFont="1" applyFill="1" applyBorder="1" applyAlignment="1">
      <alignment wrapText="1"/>
    </xf>
    <xf numFmtId="0" fontId="29" fillId="0" borderId="17" xfId="0" applyFont="1" applyFill="1" applyBorder="1" applyAlignment="1">
      <alignment wrapText="1"/>
    </xf>
    <xf numFmtId="0" fontId="29" fillId="0" borderId="14" xfId="0" applyFont="1" applyFill="1" applyBorder="1" applyAlignment="1">
      <alignment horizontal="center" wrapText="1"/>
    </xf>
    <xf numFmtId="0" fontId="29" fillId="0" borderId="18" xfId="0" applyFont="1" applyFill="1" applyBorder="1" applyAlignment="1">
      <alignment vertical="top" wrapText="1"/>
    </xf>
    <xf numFmtId="3" fontId="28" fillId="0" borderId="11" xfId="0" applyNumberFormat="1" applyFont="1" applyFill="1" applyBorder="1" applyAlignment="1">
      <alignment vertical="top" wrapText="1"/>
    </xf>
    <xf numFmtId="3" fontId="28" fillId="0" borderId="12" xfId="0" applyNumberFormat="1" applyFont="1" applyFill="1" applyBorder="1" applyAlignment="1">
      <alignment vertical="top" wrapText="1"/>
    </xf>
    <xf numFmtId="0" fontId="28" fillId="0" borderId="19" xfId="0" applyFont="1" applyFill="1" applyBorder="1" applyAlignment="1">
      <alignment wrapText="1"/>
    </xf>
    <xf numFmtId="3" fontId="28" fillId="0" borderId="12" xfId="0" applyNumberFormat="1" applyFont="1" applyFill="1" applyBorder="1" applyAlignment="1">
      <alignment horizontal="right" wrapText="1"/>
    </xf>
    <xf numFmtId="0" fontId="28" fillId="0" borderId="18" xfId="0" applyFont="1" applyFill="1" applyBorder="1" applyAlignment="1">
      <alignment wrapText="1"/>
    </xf>
    <xf numFmtId="3" fontId="29" fillId="0" borderId="11" xfId="0" applyNumberFormat="1" applyFont="1" applyFill="1" applyBorder="1" applyAlignment="1">
      <alignment wrapText="1"/>
    </xf>
    <xf numFmtId="0" fontId="29" fillId="0" borderId="15" xfId="0" applyFont="1" applyFill="1" applyBorder="1" applyAlignment="1">
      <alignment vertical="top" wrapText="1"/>
    </xf>
    <xf numFmtId="0" fontId="27" fillId="0" borderId="0" xfId="0" applyFont="1" applyFill="1" applyBorder="1" applyAlignment="1">
      <alignment wrapText="1"/>
    </xf>
    <xf numFmtId="0" fontId="27" fillId="0" borderId="11" xfId="0" applyFont="1" applyFill="1" applyBorder="1" applyAlignment="1">
      <alignment horizontal="center" wrapText="1"/>
    </xf>
    <xf numFmtId="0" fontId="29" fillId="0" borderId="0" xfId="0" applyFont="1" applyFill="1" applyBorder="1" applyAlignment="1">
      <alignment vertical="top" wrapText="1"/>
    </xf>
    <xf numFmtId="0" fontId="29" fillId="0" borderId="0" xfId="0" applyFont="1" applyFill="1" applyBorder="1" applyAlignment="1">
      <alignment horizontal="center" vertical="top" wrapText="1"/>
    </xf>
    <xf numFmtId="0" fontId="28" fillId="0" borderId="0" xfId="0" applyFont="1" applyFill="1" applyBorder="1" applyAlignment="1">
      <alignment vertical="top" wrapText="1"/>
    </xf>
    <xf numFmtId="0" fontId="28" fillId="0" borderId="0" xfId="0" applyFont="1" applyFill="1" applyBorder="1" applyAlignment="1">
      <alignment horizontal="left" vertical="top" wrapText="1"/>
    </xf>
    <xf numFmtId="3" fontId="49" fillId="0" borderId="0" xfId="0" applyNumberFormat="1" applyFont="1" applyFill="1" applyBorder="1" applyAlignment="1">
      <alignment vertical="top" wrapText="1"/>
    </xf>
    <xf numFmtId="3" fontId="28" fillId="0" borderId="0" xfId="0" applyNumberFormat="1" applyFont="1" applyFill="1" applyBorder="1" applyAlignment="1">
      <alignment vertical="top" wrapText="1"/>
    </xf>
    <xf numFmtId="3" fontId="49" fillId="26" borderId="0" xfId="0" applyNumberFormat="1" applyFont="1" applyFill="1" applyBorder="1" applyAlignment="1">
      <alignment vertical="top" wrapText="1"/>
    </xf>
    <xf numFmtId="168" fontId="49" fillId="0" borderId="0" xfId="0" applyNumberFormat="1" applyFont="1" applyFill="1" applyBorder="1" applyAlignment="1">
      <alignment vertical="top" wrapText="1"/>
    </xf>
    <xf numFmtId="168" fontId="28" fillId="0" borderId="0" xfId="0" applyNumberFormat="1" applyFont="1" applyFill="1" applyBorder="1" applyAlignment="1">
      <alignment vertical="top" wrapText="1"/>
    </xf>
    <xf numFmtId="3" fontId="28" fillId="0" borderId="0" xfId="0" applyNumberFormat="1" applyFont="1" applyFill="1" applyBorder="1" applyAlignment="1">
      <alignment horizontal="right" vertical="top" wrapText="1"/>
    </xf>
    <xf numFmtId="0" fontId="29" fillId="0" borderId="0" xfId="0" applyFont="1" applyBorder="1" applyAlignment="1">
      <alignment vertical="top" wrapText="1"/>
    </xf>
    <xf numFmtId="0" fontId="29" fillId="0" borderId="0" xfId="0" applyFont="1" applyBorder="1" applyAlignment="1">
      <alignment horizontal="center" vertical="top" wrapText="1"/>
    </xf>
    <xf numFmtId="0" fontId="28" fillId="0" borderId="0" xfId="0" applyFont="1" applyBorder="1" applyAlignment="1">
      <alignment vertical="top" wrapText="1"/>
    </xf>
    <xf numFmtId="1" fontId="28" fillId="0" borderId="0" xfId="0" applyNumberFormat="1" applyFont="1" applyBorder="1" applyAlignment="1">
      <alignment horizontal="center" vertical="top" wrapText="1"/>
    </xf>
    <xf numFmtId="3" fontId="28" fillId="0" borderId="0" xfId="0" applyNumberFormat="1" applyFont="1" applyBorder="1" applyAlignment="1">
      <alignment vertical="top" wrapText="1"/>
    </xf>
    <xf numFmtId="3" fontId="49" fillId="0" borderId="0" xfId="0" applyNumberFormat="1" applyFont="1" applyBorder="1" applyAlignment="1">
      <alignment vertical="top" wrapText="1"/>
    </xf>
    <xf numFmtId="0" fontId="28" fillId="0" borderId="0" xfId="0" applyFont="1" applyBorder="1" applyAlignment="1">
      <alignment wrapText="1"/>
    </xf>
    <xf numFmtId="0" fontId="29" fillId="0" borderId="0" xfId="0" applyFont="1" applyBorder="1" applyAlignment="1">
      <alignment wrapText="1"/>
    </xf>
    <xf numFmtId="0" fontId="28" fillId="0" borderId="0" xfId="0" applyFont="1" applyBorder="1" applyAlignment="1">
      <alignment horizontal="left" vertical="top" wrapText="1"/>
    </xf>
    <xf numFmtId="168" fontId="49" fillId="0" borderId="0" xfId="0" applyNumberFormat="1" applyFont="1" applyBorder="1" applyAlignment="1">
      <alignment vertical="top" wrapText="1"/>
    </xf>
    <xf numFmtId="1" fontId="28" fillId="0" borderId="0" xfId="0" applyNumberFormat="1" applyFont="1" applyBorder="1" applyAlignment="1">
      <alignment horizontal="center" wrapText="1"/>
    </xf>
    <xf numFmtId="0" fontId="28" fillId="0" borderId="0" xfId="0" applyFont="1" applyBorder="1" applyAlignment="1">
      <alignment horizontal="center" wrapText="1"/>
    </xf>
    <xf numFmtId="1" fontId="28" fillId="0" borderId="0" xfId="0" applyNumberFormat="1" applyFont="1" applyAlignment="1">
      <alignment horizontal="center" wrapText="1"/>
    </xf>
    <xf numFmtId="0" fontId="29" fillId="0" borderId="0" xfId="0" applyFont="1" applyBorder="1" applyAlignment="1">
      <alignment horizontal="left" wrapText="1"/>
    </xf>
    <xf numFmtId="3" fontId="50" fillId="0" borderId="0" xfId="0" applyNumberFormat="1" applyFont="1" applyBorder="1" applyAlignment="1">
      <alignment horizontal="left" wrapText="1"/>
    </xf>
    <xf numFmtId="3" fontId="29" fillId="0" borderId="0" xfId="0" applyNumberFormat="1" applyFont="1" applyFill="1" applyBorder="1" applyAlignment="1">
      <alignment horizontal="left" wrapText="1"/>
    </xf>
    <xf numFmtId="3" fontId="50" fillId="26" borderId="0" xfId="0" applyNumberFormat="1" applyFont="1" applyFill="1" applyBorder="1" applyAlignment="1">
      <alignment horizontal="left" wrapText="1"/>
    </xf>
    <xf numFmtId="3" fontId="29" fillId="0" borderId="0" xfId="0" applyNumberFormat="1" applyFont="1" applyBorder="1" applyAlignment="1">
      <alignment horizontal="left" wrapText="1"/>
    </xf>
    <xf numFmtId="168" fontId="50" fillId="0" borderId="0" xfId="0" applyNumberFormat="1" applyFont="1" applyBorder="1" applyAlignment="1">
      <alignment horizontal="left" wrapText="1"/>
    </xf>
    <xf numFmtId="168" fontId="29" fillId="0" borderId="0" xfId="0" applyNumberFormat="1" applyFont="1" applyFill="1" applyBorder="1" applyAlignment="1">
      <alignment horizontal="left" wrapText="1"/>
    </xf>
    <xf numFmtId="3" fontId="29" fillId="0" borderId="0" xfId="0" applyNumberFormat="1" applyFont="1" applyFill="1" applyBorder="1" applyAlignment="1">
      <alignment horizontal="right" wrapText="1"/>
    </xf>
    <xf numFmtId="0" fontId="28" fillId="0" borderId="0" xfId="0" applyFont="1" applyAlignment="1">
      <alignment wrapText="1"/>
    </xf>
    <xf numFmtId="0" fontId="28" fillId="0" borderId="0" xfId="0" applyFont="1" applyAlignment="1">
      <alignment horizontal="center" wrapText="1"/>
    </xf>
    <xf numFmtId="0" fontId="28" fillId="0" borderId="0" xfId="0" applyFont="1" applyAlignment="1">
      <alignment horizontal="left" wrapText="1"/>
    </xf>
    <xf numFmtId="3" fontId="49" fillId="0" borderId="0" xfId="0" applyNumberFormat="1" applyFont="1" applyAlignment="1">
      <alignment horizontal="right" wrapText="1"/>
    </xf>
    <xf numFmtId="3" fontId="28" fillId="0" borderId="0" xfId="0" applyNumberFormat="1" applyFont="1" applyFill="1" applyAlignment="1">
      <alignment horizontal="right" wrapText="1"/>
    </xf>
    <xf numFmtId="3" fontId="49" fillId="26" borderId="0" xfId="0" applyNumberFormat="1" applyFont="1" applyFill="1" applyAlignment="1">
      <alignment horizontal="right" wrapText="1"/>
    </xf>
    <xf numFmtId="3" fontId="28" fillId="0" borderId="0" xfId="0" applyNumberFormat="1" applyFont="1" applyAlignment="1">
      <alignment horizontal="right" wrapText="1"/>
    </xf>
    <xf numFmtId="168" fontId="49" fillId="0" borderId="0" xfId="0" applyNumberFormat="1" applyFont="1" applyAlignment="1">
      <alignment horizontal="right" wrapText="1"/>
    </xf>
    <xf numFmtId="168" fontId="28" fillId="0" borderId="0" xfId="0" applyNumberFormat="1" applyFont="1" applyFill="1" applyAlignment="1">
      <alignment horizontal="right" wrapText="1"/>
    </xf>
    <xf numFmtId="3" fontId="29" fillId="0" borderId="0" xfId="0" applyNumberFormat="1" applyFont="1" applyFill="1" applyBorder="1" applyAlignment="1">
      <alignment wrapText="1"/>
    </xf>
    <xf numFmtId="3" fontId="28" fillId="0" borderId="0" xfId="0" applyNumberFormat="1" applyFont="1" applyFill="1" applyAlignment="1">
      <alignment wrapText="1"/>
    </xf>
    <xf numFmtId="0" fontId="28" fillId="0" borderId="11" xfId="237" applyFont="1" applyFill="1" applyBorder="1" applyAlignment="1">
      <alignment wrapText="1"/>
    </xf>
    <xf numFmtId="1" fontId="28" fillId="0" borderId="0" xfId="237" applyNumberFormat="1" applyFont="1" applyFill="1" applyBorder="1" applyAlignment="1">
      <alignment horizontal="center" wrapText="1"/>
    </xf>
    <xf numFmtId="3" fontId="28" fillId="0" borderId="11" xfId="239" applyNumberFormat="1" applyFont="1" applyFill="1" applyBorder="1" applyAlignment="1">
      <alignment wrapText="1"/>
    </xf>
    <xf numFmtId="1" fontId="28" fillId="0" borderId="0" xfId="82" applyNumberFormat="1" applyFont="1" applyFill="1" applyBorder="1" applyAlignment="1">
      <alignment wrapText="1"/>
    </xf>
    <xf numFmtId="0" fontId="27" fillId="0" borderId="16" xfId="0" applyFont="1" applyFill="1" applyBorder="1" applyAlignment="1">
      <alignment wrapText="1"/>
    </xf>
    <xf numFmtId="3" fontId="28" fillId="0" borderId="11" xfId="28" applyNumberFormat="1" applyFont="1" applyFill="1" applyBorder="1" applyAlignment="1">
      <alignment wrapText="1"/>
    </xf>
    <xf numFmtId="3" fontId="28" fillId="0" borderId="13" xfId="0" applyNumberFormat="1" applyFont="1" applyFill="1" applyBorder="1" applyAlignment="1">
      <alignment horizontal="right" vertical="top" wrapText="1"/>
    </xf>
    <xf numFmtId="3" fontId="28" fillId="0" borderId="13" xfId="0" applyNumberFormat="1" applyFont="1" applyFill="1" applyBorder="1" applyAlignment="1">
      <alignment vertical="top" wrapText="1"/>
    </xf>
    <xf numFmtId="0" fontId="28" fillId="0" borderId="12" xfId="80" applyFont="1" applyFill="1" applyBorder="1" applyAlignment="1"/>
    <xf numFmtId="3" fontId="28" fillId="0" borderId="11" xfId="28" applyNumberFormat="1" applyFont="1" applyFill="1" applyBorder="1" applyAlignment="1">
      <alignment horizontal="left" wrapText="1"/>
    </xf>
    <xf numFmtId="3" fontId="29" fillId="0" borderId="10" xfId="0" applyNumberFormat="1" applyFont="1" applyFill="1" applyBorder="1" applyAlignment="1">
      <alignment wrapText="1"/>
    </xf>
    <xf numFmtId="3" fontId="29" fillId="0" borderId="20" xfId="0" applyNumberFormat="1" applyFont="1" applyFill="1" applyBorder="1" applyAlignment="1">
      <alignment wrapText="1"/>
    </xf>
    <xf numFmtId="3" fontId="28" fillId="0" borderId="10" xfId="0" applyNumberFormat="1" applyFont="1" applyFill="1" applyBorder="1" applyAlignment="1">
      <alignment wrapText="1"/>
    </xf>
    <xf numFmtId="0" fontId="30" fillId="0" borderId="0" xfId="0" applyFont="1" applyFill="1" applyAlignment="1">
      <alignment wrapText="1"/>
    </xf>
    <xf numFmtId="0" fontId="30" fillId="27" borderId="0" xfId="0" applyFont="1" applyFill="1" applyAlignment="1">
      <alignment wrapText="1"/>
    </xf>
    <xf numFmtId="0" fontId="30" fillId="27" borderId="0" xfId="0" applyFont="1" applyFill="1" applyBorder="1" applyAlignment="1">
      <alignment wrapText="1"/>
    </xf>
    <xf numFmtId="0" fontId="31" fillId="27" borderId="0" xfId="0" applyFont="1" applyFill="1" applyAlignment="1">
      <alignment wrapText="1"/>
    </xf>
    <xf numFmtId="0" fontId="51" fillId="28" borderId="21" xfId="0" applyNumberFormat="1" applyFont="1" applyFill="1" applyBorder="1" applyAlignment="1" applyProtection="1">
      <alignment horizontal="left"/>
      <protection locked="0"/>
    </xf>
    <xf numFmtId="168" fontId="52" fillId="28" borderId="22" xfId="28" applyNumberFormat="1" applyFont="1" applyFill="1" applyBorder="1" applyAlignment="1" applyProtection="1">
      <alignment horizontal="left"/>
      <protection locked="0"/>
    </xf>
    <xf numFmtId="3" fontId="52" fillId="28" borderId="22" xfId="28" applyNumberFormat="1" applyFont="1" applyFill="1" applyBorder="1" applyAlignment="1" applyProtection="1">
      <alignment horizontal="left"/>
      <protection locked="0"/>
    </xf>
    <xf numFmtId="0" fontId="52" fillId="28" borderId="22" xfId="0" applyNumberFormat="1" applyFont="1" applyFill="1" applyBorder="1" applyAlignment="1" applyProtection="1">
      <alignment horizontal="left"/>
      <protection locked="0"/>
    </xf>
    <xf numFmtId="0" fontId="52" fillId="28" borderId="23" xfId="0" applyNumberFormat="1" applyFont="1" applyFill="1" applyBorder="1" applyAlignment="1" applyProtection="1">
      <alignment horizontal="left"/>
      <protection locked="0"/>
    </xf>
    <xf numFmtId="0" fontId="0" fillId="0" borderId="0" xfId="0" applyFill="1"/>
    <xf numFmtId="0" fontId="4" fillId="0" borderId="0" xfId="0" applyFont="1"/>
    <xf numFmtId="168" fontId="33" fillId="28" borderId="22" xfId="28" applyNumberFormat="1" applyFont="1" applyFill="1" applyBorder="1" applyAlignment="1" applyProtection="1">
      <alignment horizontal="center"/>
      <protection locked="0"/>
    </xf>
    <xf numFmtId="3" fontId="33" fillId="28" borderId="22" xfId="28" applyNumberFormat="1" applyFont="1" applyFill="1" applyBorder="1" applyAlignment="1" applyProtection="1">
      <alignment horizontal="center"/>
      <protection locked="0"/>
    </xf>
    <xf numFmtId="0" fontId="53" fillId="28" borderId="24" xfId="0" applyNumberFormat="1" applyFont="1" applyFill="1" applyBorder="1" applyProtection="1">
      <protection locked="0"/>
    </xf>
    <xf numFmtId="168" fontId="53" fillId="28" borderId="24" xfId="28" applyNumberFormat="1" applyFont="1" applyFill="1" applyBorder="1" applyAlignment="1">
      <alignment horizontal="center" wrapText="1"/>
    </xf>
    <xf numFmtId="3" fontId="53" fillId="28" borderId="24" xfId="0" applyNumberFormat="1" applyFont="1" applyFill="1" applyBorder="1" applyAlignment="1">
      <alignment horizontal="center" wrapText="1"/>
    </xf>
    <xf numFmtId="0" fontId="53" fillId="28" borderId="24" xfId="0" applyFont="1" applyFill="1" applyBorder="1" applyAlignment="1">
      <alignment horizontal="center" wrapText="1"/>
    </xf>
    <xf numFmtId="0" fontId="35" fillId="0" borderId="0" xfId="0" applyFont="1" applyFill="1"/>
    <xf numFmtId="0" fontId="4" fillId="0" borderId="0" xfId="0" applyFont="1" applyFill="1"/>
    <xf numFmtId="0" fontId="32" fillId="0" borderId="24" xfId="0" applyNumberFormat="1" applyFont="1" applyFill="1" applyBorder="1" applyProtection="1">
      <protection locked="0"/>
    </xf>
    <xf numFmtId="168" fontId="32" fillId="0" borderId="24" xfId="28" applyNumberFormat="1" applyFont="1" applyFill="1" applyBorder="1" applyAlignment="1">
      <alignment horizontal="right"/>
    </xf>
    <xf numFmtId="0" fontId="2" fillId="0" borderId="0" xfId="0" applyFont="1" applyFill="1"/>
    <xf numFmtId="0" fontId="36" fillId="0" borderId="24" xfId="0" applyNumberFormat="1" applyFont="1" applyFill="1" applyBorder="1" applyProtection="1">
      <protection locked="0"/>
    </xf>
    <xf numFmtId="168" fontId="36" fillId="0" borderId="14" xfId="28" applyNumberFormat="1" applyFont="1" applyFill="1" applyBorder="1" applyAlignment="1">
      <alignment horizontal="right"/>
    </xf>
    <xf numFmtId="3" fontId="32" fillId="0" borderId="0" xfId="0" applyNumberFormat="1" applyFont="1" applyFill="1" applyBorder="1" applyAlignment="1">
      <alignment horizontal="right"/>
    </xf>
    <xf numFmtId="168" fontId="32" fillId="0" borderId="10" xfId="28" applyNumberFormat="1" applyFont="1" applyFill="1" applyBorder="1" applyAlignment="1">
      <alignment horizontal="right"/>
    </xf>
    <xf numFmtId="0" fontId="32" fillId="0" borderId="11" xfId="0" applyFont="1" applyFill="1" applyBorder="1" applyAlignment="1">
      <alignment vertical="top" wrapText="1"/>
    </xf>
    <xf numFmtId="0" fontId="32" fillId="0" borderId="24" xfId="0" applyFont="1" applyFill="1" applyBorder="1" applyAlignment="1">
      <alignment vertical="top" wrapText="1"/>
    </xf>
    <xf numFmtId="43" fontId="0" fillId="0" borderId="0" xfId="0" applyNumberFormat="1" applyFill="1"/>
    <xf numFmtId="168" fontId="36" fillId="0" borderId="20" xfId="28" applyNumberFormat="1" applyFont="1" applyFill="1" applyBorder="1" applyAlignment="1">
      <alignment horizontal="right"/>
    </xf>
    <xf numFmtId="3" fontId="36" fillId="0" borderId="20" xfId="28" applyNumberFormat="1" applyFont="1" applyFill="1" applyBorder="1" applyAlignment="1">
      <alignment horizontal="right"/>
    </xf>
    <xf numFmtId="169" fontId="0" fillId="0" borderId="0" xfId="28" applyNumberFormat="1" applyFont="1" applyFill="1"/>
    <xf numFmtId="0" fontId="36" fillId="0" borderId="0" xfId="0" applyNumberFormat="1" applyFont="1" applyFill="1" applyBorder="1" applyProtection="1">
      <protection locked="0"/>
    </xf>
    <xf numFmtId="168" fontId="36" fillId="0" borderId="0" xfId="28" applyNumberFormat="1" applyFont="1" applyFill="1" applyBorder="1" applyAlignment="1">
      <alignment horizontal="right"/>
    </xf>
    <xf numFmtId="3" fontId="36" fillId="0" borderId="0" xfId="28" applyNumberFormat="1" applyFont="1" applyFill="1" applyBorder="1" applyAlignment="1">
      <alignment horizontal="right"/>
    </xf>
    <xf numFmtId="3" fontId="36" fillId="0" borderId="0" xfId="0" applyNumberFormat="1" applyFont="1" applyFill="1" applyBorder="1" applyAlignment="1">
      <alignment horizontal="right"/>
    </xf>
    <xf numFmtId="0" fontId="32" fillId="0" borderId="0" xfId="0" applyNumberFormat="1" applyFont="1" applyFill="1" applyProtection="1">
      <protection locked="0"/>
    </xf>
    <xf numFmtId="168" fontId="32" fillId="0" borderId="0" xfId="28" applyNumberFormat="1" applyFont="1" applyFill="1" applyProtection="1">
      <protection locked="0"/>
    </xf>
    <xf numFmtId="3" fontId="32" fillId="0" borderId="0" xfId="28" applyNumberFormat="1" applyFont="1" applyFill="1" applyProtection="1">
      <protection locked="0"/>
    </xf>
    <xf numFmtId="0" fontId="51" fillId="0" borderId="0" xfId="0" applyNumberFormat="1" applyFont="1" applyFill="1" applyBorder="1" applyAlignment="1" applyProtection="1">
      <alignment horizontal="left"/>
      <protection locked="0"/>
    </xf>
    <xf numFmtId="0" fontId="51" fillId="28" borderId="25" xfId="0" applyNumberFormat="1" applyFont="1" applyFill="1" applyBorder="1" applyAlignment="1" applyProtection="1">
      <alignment horizontal="left"/>
      <protection locked="0"/>
    </xf>
    <xf numFmtId="0" fontId="36" fillId="0" borderId="26" xfId="0" applyNumberFormat="1" applyFont="1" applyFill="1" applyBorder="1" applyProtection="1">
      <protection locked="0"/>
    </xf>
    <xf numFmtId="0" fontId="32" fillId="0" borderId="0" xfId="0" applyNumberFormat="1" applyFont="1" applyBorder="1" applyProtection="1">
      <protection locked="0"/>
    </xf>
    <xf numFmtId="168" fontId="51" fillId="28" borderId="0" xfId="28" applyNumberFormat="1" applyFont="1" applyFill="1" applyBorder="1" applyAlignment="1" applyProtection="1">
      <alignment horizontal="left"/>
      <protection locked="0"/>
    </xf>
    <xf numFmtId="3" fontId="51" fillId="28" borderId="0" xfId="28" applyNumberFormat="1" applyFont="1" applyFill="1" applyBorder="1" applyAlignment="1" applyProtection="1">
      <alignment horizontal="left"/>
      <protection locked="0"/>
    </xf>
    <xf numFmtId="3" fontId="32" fillId="0" borderId="24" xfId="0" applyNumberFormat="1" applyFont="1" applyBorder="1" applyAlignment="1">
      <alignment horizontal="right"/>
    </xf>
    <xf numFmtId="0" fontId="32" fillId="0" borderId="24" xfId="0" applyNumberFormat="1" applyFont="1" applyBorder="1" applyProtection="1">
      <protection locked="0"/>
    </xf>
    <xf numFmtId="0" fontId="37" fillId="0" borderId="24" xfId="0" applyFont="1" applyBorder="1" applyAlignment="1">
      <alignment horizontal="center"/>
    </xf>
    <xf numFmtId="0" fontId="38" fillId="0" borderId="27" xfId="0" applyFont="1" applyFill="1" applyBorder="1" applyAlignment="1">
      <alignment horizontal="center" vertical="center" wrapText="1"/>
    </xf>
    <xf numFmtId="0" fontId="38" fillId="0" borderId="28" xfId="0" applyFont="1" applyFill="1" applyBorder="1" applyAlignment="1">
      <alignment horizontal="center" vertical="center" wrapText="1"/>
    </xf>
    <xf numFmtId="0" fontId="41" fillId="0" borderId="12" xfId="0" applyFont="1" applyBorder="1"/>
    <xf numFmtId="165" fontId="4" fillId="0" borderId="29" xfId="0" applyNumberFormat="1" applyFont="1" applyBorder="1" applyAlignment="1">
      <alignment horizontal="center"/>
    </xf>
    <xf numFmtId="165" fontId="4" fillId="0" borderId="29" xfId="0" applyNumberFormat="1" applyFont="1" applyBorder="1"/>
    <xf numFmtId="0" fontId="39" fillId="0" borderId="12" xfId="0" applyNumberFormat="1" applyFont="1" applyFill="1" applyBorder="1" applyAlignment="1" applyProtection="1">
      <alignment horizontal="left" indent="1"/>
    </xf>
    <xf numFmtId="165" fontId="38" fillId="0" borderId="29" xfId="0" applyNumberFormat="1" applyFont="1" applyFill="1" applyBorder="1" applyProtection="1"/>
    <xf numFmtId="0" fontId="40" fillId="0" borderId="12" xfId="0" applyNumberFormat="1" applyFont="1" applyFill="1" applyBorder="1" applyAlignment="1" applyProtection="1">
      <alignment horizontal="left" indent="2"/>
    </xf>
    <xf numFmtId="165" fontId="4" fillId="25" borderId="29" xfId="0" applyNumberFormat="1" applyFont="1" applyFill="1" applyBorder="1" applyAlignment="1">
      <alignment horizontal="right"/>
    </xf>
    <xf numFmtId="165" fontId="4" fillId="25" borderId="29" xfId="0" applyNumberFormat="1" applyFont="1" applyFill="1" applyBorder="1" applyProtection="1">
      <protection locked="0"/>
    </xf>
    <xf numFmtId="0" fontId="39" fillId="0" borderId="30" xfId="0" applyFont="1" applyBorder="1" applyAlignment="1">
      <alignment horizontal="left"/>
    </xf>
    <xf numFmtId="165" fontId="38" fillId="0" borderId="31" xfId="0" applyNumberFormat="1" applyFont="1" applyFill="1" applyBorder="1"/>
    <xf numFmtId="0" fontId="39" fillId="0" borderId="12" xfId="0" applyFont="1" applyBorder="1" applyAlignment="1">
      <alignment horizontal="left"/>
    </xf>
    <xf numFmtId="165" fontId="38" fillId="0" borderId="29" xfId="0" applyNumberFormat="1" applyFont="1" applyBorder="1"/>
    <xf numFmtId="165" fontId="38" fillId="0" borderId="0" xfId="0" applyNumberFormat="1" applyFont="1" applyBorder="1"/>
    <xf numFmtId="0" fontId="40" fillId="0" borderId="12" xfId="0" applyFont="1" applyBorder="1" applyAlignment="1">
      <alignment horizontal="left" indent="2"/>
    </xf>
    <xf numFmtId="165" fontId="4" fillId="25" borderId="29" xfId="28" applyNumberFormat="1" applyFont="1" applyFill="1" applyBorder="1" applyProtection="1">
      <protection locked="0"/>
    </xf>
    <xf numFmtId="0" fontId="40" fillId="0" borderId="12" xfId="0" applyFont="1" applyFill="1" applyBorder="1" applyAlignment="1">
      <alignment horizontal="left" indent="2"/>
    </xf>
    <xf numFmtId="0" fontId="39" fillId="0" borderId="12" xfId="0" applyFont="1" applyFill="1" applyBorder="1" applyAlignment="1">
      <alignment horizontal="left" indent="1"/>
    </xf>
    <xf numFmtId="165" fontId="38" fillId="0" borderId="32" xfId="0" applyNumberFormat="1" applyFont="1" applyBorder="1"/>
    <xf numFmtId="0" fontId="39" fillId="0" borderId="12" xfId="0" applyFont="1" applyBorder="1" applyAlignment="1">
      <alignment horizontal="left" indent="1"/>
    </xf>
    <xf numFmtId="0" fontId="39" fillId="0" borderId="30" xfId="0" applyFont="1" applyBorder="1"/>
    <xf numFmtId="165" fontId="38" fillId="0" borderId="31" xfId="0" applyNumberFormat="1" applyFont="1" applyBorder="1"/>
    <xf numFmtId="0" fontId="2" fillId="0" borderId="0" xfId="0" applyFont="1"/>
    <xf numFmtId="0" fontId="40" fillId="0" borderId="12" xfId="0" applyNumberFormat="1" applyFont="1" applyFill="1" applyBorder="1" applyAlignment="1">
      <alignment horizontal="left" indent="1"/>
    </xf>
    <xf numFmtId="0" fontId="40" fillId="0" borderId="12" xfId="0" applyNumberFormat="1" applyFont="1" applyBorder="1" applyAlignment="1">
      <alignment horizontal="left" indent="1"/>
    </xf>
    <xf numFmtId="165" fontId="4" fillId="0" borderId="29" xfId="0" applyNumberFormat="1" applyFont="1" applyFill="1" applyBorder="1" applyProtection="1"/>
    <xf numFmtId="0" fontId="40" fillId="0" borderId="12" xfId="0" applyFont="1" applyBorder="1" applyAlignment="1">
      <alignment horizontal="left" indent="1"/>
    </xf>
    <xf numFmtId="0" fontId="42" fillId="0" borderId="24" xfId="0" applyFont="1" applyBorder="1" applyAlignment="1">
      <alignment horizontal="center"/>
    </xf>
    <xf numFmtId="0" fontId="41" fillId="0" borderId="25" xfId="0" applyNumberFormat="1" applyFont="1" applyBorder="1"/>
    <xf numFmtId="165" fontId="39" fillId="0" borderId="33" xfId="0" applyNumberFormat="1" applyFont="1" applyBorder="1" applyAlignment="1" applyProtection="1">
      <alignment horizontal="center"/>
    </xf>
    <xf numFmtId="165" fontId="39" fillId="0" borderId="33" xfId="0" applyNumberFormat="1" applyFont="1" applyBorder="1" applyAlignment="1">
      <alignment horizontal="center"/>
    </xf>
    <xf numFmtId="0" fontId="41" fillId="0" borderId="12" xfId="0" applyNumberFormat="1" applyFont="1" applyBorder="1"/>
    <xf numFmtId="165" fontId="39" fillId="0" borderId="29" xfId="0" applyNumberFormat="1" applyFont="1" applyBorder="1" applyAlignment="1">
      <alignment horizontal="center"/>
    </xf>
    <xf numFmtId="165" fontId="38" fillId="0" borderId="29" xfId="0" applyNumberFormat="1" applyFont="1" applyFill="1" applyBorder="1"/>
    <xf numFmtId="165" fontId="4" fillId="0" borderId="32" xfId="0" applyNumberFormat="1" applyFont="1" applyFill="1" applyBorder="1" applyProtection="1"/>
    <xf numFmtId="0" fontId="40" fillId="0" borderId="12" xfId="0" applyNumberFormat="1" applyFont="1" applyBorder="1" applyAlignment="1">
      <alignment horizontal="left" indent="2"/>
    </xf>
    <xf numFmtId="0" fontId="40" fillId="0" borderId="12" xfId="0" applyNumberFormat="1" applyFont="1" applyBorder="1"/>
    <xf numFmtId="165" fontId="4" fillId="25" borderId="34" xfId="0" applyNumberFormat="1" applyFont="1" applyFill="1" applyBorder="1" applyAlignment="1">
      <alignment horizontal="right"/>
    </xf>
    <xf numFmtId="165" fontId="38" fillId="25" borderId="32" xfId="0" applyNumberFormat="1" applyFont="1" applyFill="1" applyBorder="1" applyProtection="1">
      <protection locked="0"/>
    </xf>
    <xf numFmtId="165" fontId="38" fillId="25" borderId="34" xfId="0" applyNumberFormat="1" applyFont="1" applyFill="1" applyBorder="1" applyProtection="1">
      <protection locked="0"/>
    </xf>
    <xf numFmtId="165" fontId="4" fillId="25" borderId="32" xfId="0" applyNumberFormat="1" applyFont="1" applyFill="1" applyBorder="1" applyAlignment="1">
      <alignment horizontal="right"/>
    </xf>
    <xf numFmtId="165" fontId="4" fillId="25" borderId="34" xfId="0" applyNumberFormat="1" applyFont="1" applyFill="1" applyBorder="1" applyProtection="1">
      <protection locked="0"/>
    </xf>
    <xf numFmtId="0" fontId="40" fillId="25" borderId="12" xfId="0" applyNumberFormat="1" applyFont="1" applyFill="1" applyBorder="1" applyAlignment="1" applyProtection="1">
      <alignment horizontal="left" indent="1"/>
      <protection locked="0"/>
    </xf>
    <xf numFmtId="165" fontId="4" fillId="25" borderId="32" xfId="0" applyNumberFormat="1" applyFont="1" applyFill="1" applyBorder="1" applyProtection="1">
      <protection locked="0"/>
    </xf>
    <xf numFmtId="0" fontId="39" fillId="0" borderId="30" xfId="0" applyNumberFormat="1" applyFont="1" applyBorder="1"/>
    <xf numFmtId="0" fontId="39" fillId="0" borderId="0" xfId="0" applyNumberFormat="1" applyFont="1" applyBorder="1"/>
    <xf numFmtId="0" fontId="41" fillId="0" borderId="25" xfId="0" applyFont="1" applyBorder="1"/>
    <xf numFmtId="165" fontId="38" fillId="0" borderId="35" xfId="0" applyNumberFormat="1" applyFont="1" applyBorder="1"/>
    <xf numFmtId="165" fontId="38" fillId="0" borderId="33" xfId="0" applyNumberFormat="1" applyFont="1" applyBorder="1"/>
    <xf numFmtId="165" fontId="4" fillId="25" borderId="36" xfId="0" applyNumberFormat="1" applyFont="1" applyFill="1" applyBorder="1" applyProtection="1">
      <protection locked="0"/>
    </xf>
    <xf numFmtId="0" fontId="40" fillId="0" borderId="37" xfId="0" applyFont="1" applyBorder="1" applyAlignment="1">
      <alignment horizontal="left" indent="1"/>
    </xf>
    <xf numFmtId="165" fontId="4" fillId="25" borderId="38" xfId="0" applyNumberFormat="1" applyFont="1" applyFill="1" applyBorder="1" applyProtection="1">
      <protection locked="0"/>
    </xf>
    <xf numFmtId="165" fontId="4" fillId="25" borderId="39" xfId="0" applyNumberFormat="1" applyFont="1" applyFill="1" applyBorder="1" applyProtection="1">
      <protection locked="0"/>
    </xf>
    <xf numFmtId="166" fontId="4" fillId="0" borderId="0" xfId="0" applyNumberFormat="1" applyFont="1"/>
    <xf numFmtId="165" fontId="38" fillId="0" borderId="33" xfId="0" applyNumberFormat="1" applyFont="1" applyBorder="1" applyAlignment="1" applyProtection="1">
      <alignment horizontal="center"/>
    </xf>
    <xf numFmtId="165" fontId="38" fillId="0" borderId="33" xfId="0" applyNumberFormat="1" applyFont="1" applyBorder="1" applyAlignment="1">
      <alignment horizontal="center"/>
    </xf>
    <xf numFmtId="165" fontId="38" fillId="0" borderId="29" xfId="0" applyNumberFormat="1" applyFont="1" applyBorder="1" applyAlignment="1">
      <alignment horizontal="center"/>
    </xf>
    <xf numFmtId="0" fontId="44" fillId="24" borderId="21" xfId="0" applyNumberFormat="1" applyFont="1" applyFill="1" applyBorder="1" applyAlignment="1" applyProtection="1">
      <alignment horizontal="left"/>
      <protection locked="0"/>
    </xf>
    <xf numFmtId="0" fontId="45" fillId="24" borderId="0" xfId="0" applyFont="1" applyFill="1"/>
    <xf numFmtId="0" fontId="46" fillId="24" borderId="24" xfId="0" applyNumberFormat="1" applyFont="1" applyFill="1" applyBorder="1" applyProtection="1">
      <protection locked="0"/>
    </xf>
    <xf numFmtId="167" fontId="32" fillId="0" borderId="24" xfId="0" applyNumberFormat="1" applyFont="1" applyBorder="1" applyProtection="1">
      <protection locked="0"/>
    </xf>
    <xf numFmtId="167" fontId="32" fillId="0" borderId="24" xfId="0" applyNumberFormat="1" applyFont="1" applyFill="1" applyBorder="1" applyProtection="1">
      <protection locked="0"/>
    </xf>
    <xf numFmtId="3" fontId="36" fillId="0" borderId="14" xfId="0" applyNumberFormat="1" applyFont="1" applyBorder="1"/>
    <xf numFmtId="0" fontId="2" fillId="0" borderId="0" xfId="0" applyFont="1" applyBorder="1"/>
    <xf numFmtId="0" fontId="2" fillId="0" borderId="24" xfId="0" applyFont="1" applyBorder="1"/>
    <xf numFmtId="0" fontId="40" fillId="0" borderId="0" xfId="0" applyFont="1"/>
    <xf numFmtId="0" fontId="46" fillId="24" borderId="40" xfId="0" applyFont="1" applyFill="1" applyBorder="1"/>
    <xf numFmtId="0" fontId="32" fillId="0" borderId="41" xfId="0" applyFont="1" applyBorder="1"/>
    <xf numFmtId="0" fontId="32" fillId="0" borderId="42" xfId="0" applyFont="1" applyBorder="1"/>
    <xf numFmtId="0" fontId="36" fillId="0" borderId="43" xfId="0" applyFont="1" applyBorder="1"/>
    <xf numFmtId="168" fontId="0" fillId="0" borderId="0" xfId="28" applyNumberFormat="1" applyFont="1"/>
    <xf numFmtId="3" fontId="0" fillId="0" borderId="0" xfId="28" applyNumberFormat="1" applyFont="1"/>
    <xf numFmtId="168" fontId="32" fillId="0" borderId="0" xfId="28" applyNumberFormat="1" applyFont="1" applyFill="1" applyBorder="1" applyAlignment="1">
      <alignment horizontal="right"/>
    </xf>
    <xf numFmtId="168" fontId="38" fillId="0" borderId="20" xfId="28" applyNumberFormat="1" applyFont="1" applyFill="1" applyBorder="1" applyAlignment="1">
      <alignment horizontal="right"/>
    </xf>
    <xf numFmtId="3" fontId="28" fillId="29" borderId="0" xfId="0" applyNumberFormat="1" applyFont="1" applyFill="1" applyBorder="1" applyAlignment="1">
      <alignment vertical="top" wrapText="1"/>
    </xf>
    <xf numFmtId="3" fontId="29" fillId="29" borderId="0" xfId="0" applyNumberFormat="1" applyFont="1" applyFill="1" applyBorder="1" applyAlignment="1">
      <alignment horizontal="left" wrapText="1"/>
    </xf>
    <xf numFmtId="3" fontId="28" fillId="29" borderId="0" xfId="0" applyNumberFormat="1" applyFont="1" applyFill="1" applyAlignment="1">
      <alignment horizontal="right" wrapText="1"/>
    </xf>
    <xf numFmtId="3" fontId="52" fillId="28" borderId="22" xfId="28" applyNumberFormat="1" applyFont="1" applyFill="1" applyBorder="1" applyAlignment="1" applyProtection="1">
      <alignment horizontal="center"/>
      <protection locked="0"/>
    </xf>
    <xf numFmtId="0" fontId="52" fillId="28" borderId="22" xfId="0" applyNumberFormat="1" applyFont="1" applyFill="1" applyBorder="1" applyAlignment="1" applyProtection="1">
      <alignment horizontal="center"/>
      <protection locked="0"/>
    </xf>
    <xf numFmtId="0" fontId="52" fillId="28" borderId="23" xfId="0" applyNumberFormat="1" applyFont="1" applyFill="1" applyBorder="1" applyAlignment="1" applyProtection="1">
      <alignment horizontal="center"/>
      <protection locked="0"/>
    </xf>
    <xf numFmtId="0" fontId="28" fillId="0" borderId="0" xfId="0" applyFont="1" applyFill="1" applyBorder="1" applyAlignment="1">
      <alignment horizontal="left" wrapText="1"/>
    </xf>
    <xf numFmtId="3" fontId="54" fillId="28" borderId="24" xfId="0" applyNumberFormat="1" applyFont="1" applyFill="1" applyBorder="1" applyAlignment="1">
      <alignment horizontal="center" wrapText="1"/>
    </xf>
    <xf numFmtId="168" fontId="55" fillId="0" borderId="24" xfId="28" applyNumberFormat="1" applyFont="1" applyFill="1" applyBorder="1" applyAlignment="1">
      <alignment horizontal="right"/>
    </xf>
    <xf numFmtId="168" fontId="56" fillId="0" borderId="14" xfId="28" applyNumberFormat="1" applyFont="1" applyFill="1" applyBorder="1" applyAlignment="1">
      <alignment horizontal="right"/>
    </xf>
    <xf numFmtId="168" fontId="55" fillId="0" borderId="10" xfId="28" applyNumberFormat="1" applyFont="1" applyFill="1" applyBorder="1" applyAlignment="1">
      <alignment horizontal="right"/>
    </xf>
    <xf numFmtId="3" fontId="56" fillId="0" borderId="20" xfId="28" applyNumberFormat="1" applyFont="1" applyFill="1" applyBorder="1" applyAlignment="1">
      <alignment horizontal="right"/>
    </xf>
    <xf numFmtId="0" fontId="51" fillId="28" borderId="0" xfId="0" applyNumberFormat="1" applyFont="1" applyFill="1" applyBorder="1" applyAlignment="1" applyProtection="1">
      <alignment horizontal="left"/>
      <protection locked="0"/>
    </xf>
    <xf numFmtId="0" fontId="58" fillId="28" borderId="0" xfId="0" applyFont="1" applyFill="1" applyAlignment="1">
      <alignment horizontal="center"/>
    </xf>
    <xf numFmtId="3" fontId="57" fillId="28" borderId="0" xfId="0" applyNumberFormat="1" applyFont="1" applyFill="1" applyAlignment="1">
      <alignment horizontal="center"/>
    </xf>
    <xf numFmtId="168" fontId="57" fillId="28" borderId="0" xfId="0" applyNumberFormat="1" applyFont="1" applyFill="1" applyAlignment="1">
      <alignment horizontal="center"/>
    </xf>
    <xf numFmtId="3" fontId="57" fillId="28" borderId="0" xfId="0" applyNumberFormat="1" applyFont="1" applyFill="1" applyAlignment="1">
      <alignment horizontal="right"/>
    </xf>
    <xf numFmtId="0" fontId="57" fillId="28" borderId="0" xfId="0" applyFont="1" applyFill="1" applyAlignment="1">
      <alignment horizontal="right"/>
    </xf>
    <xf numFmtId="0" fontId="59" fillId="28" borderId="44" xfId="0" applyFont="1" applyFill="1" applyBorder="1" applyAlignment="1">
      <alignment wrapText="1"/>
    </xf>
    <xf numFmtId="0" fontId="59" fillId="28" borderId="45" xfId="0" applyFont="1" applyFill="1" applyBorder="1" applyAlignment="1">
      <alignment wrapText="1"/>
    </xf>
    <xf numFmtId="0" fontId="59" fillId="28" borderId="46" xfId="0" applyFont="1" applyFill="1" applyBorder="1" applyAlignment="1">
      <alignment wrapText="1"/>
    </xf>
    <xf numFmtId="0" fontId="59" fillId="28" borderId="47" xfId="0" applyFont="1" applyFill="1" applyBorder="1" applyAlignment="1">
      <alignment horizontal="center" wrapText="1"/>
    </xf>
    <xf numFmtId="0" fontId="59" fillId="28" borderId="48" xfId="0" applyFont="1" applyFill="1" applyBorder="1" applyAlignment="1">
      <alignment wrapText="1"/>
    </xf>
    <xf numFmtId="0" fontId="59" fillId="28" borderId="48" xfId="0" applyFont="1" applyFill="1" applyBorder="1" applyAlignment="1">
      <alignment horizontal="center" wrapText="1"/>
    </xf>
    <xf numFmtId="1" fontId="59" fillId="28" borderId="48" xfId="0" applyNumberFormat="1" applyFont="1" applyFill="1" applyBorder="1" applyAlignment="1">
      <alignment horizontal="center" wrapText="1"/>
    </xf>
    <xf numFmtId="1" fontId="59" fillId="28" borderId="49" xfId="0" applyNumberFormat="1" applyFont="1" applyFill="1" applyBorder="1" applyAlignment="1">
      <alignment horizontal="center" wrapText="1"/>
    </xf>
    <xf numFmtId="0" fontId="59" fillId="28" borderId="44" xfId="0" applyFont="1" applyFill="1" applyBorder="1" applyAlignment="1">
      <alignment horizontal="left" wrapText="1"/>
    </xf>
    <xf numFmtId="0" fontId="59" fillId="28" borderId="50" xfId="0" applyFont="1" applyFill="1" applyBorder="1" applyAlignment="1">
      <alignment horizontal="center" wrapText="1"/>
    </xf>
    <xf numFmtId="3" fontId="59" fillId="28" borderId="50" xfId="0" applyNumberFormat="1" applyFont="1" applyFill="1" applyBorder="1" applyAlignment="1">
      <alignment horizontal="center" wrapText="1"/>
    </xf>
    <xf numFmtId="3" fontId="59" fillId="28" borderId="51" xfId="0" applyNumberFormat="1" applyFont="1" applyFill="1" applyBorder="1" applyAlignment="1">
      <alignment horizontal="center" wrapText="1"/>
    </xf>
    <xf numFmtId="168" fontId="59" fillId="28" borderId="50" xfId="0" applyNumberFormat="1" applyFont="1" applyFill="1" applyBorder="1" applyAlignment="1">
      <alignment horizontal="center" wrapText="1"/>
    </xf>
    <xf numFmtId="168" fontId="38" fillId="0" borderId="0" xfId="28" applyNumberFormat="1" applyFont="1" applyFill="1" applyBorder="1" applyAlignment="1">
      <alignment horizontal="right"/>
    </xf>
    <xf numFmtId="169" fontId="2" fillId="0" borderId="0" xfId="28" applyNumberFormat="1" applyFont="1" applyFill="1"/>
    <xf numFmtId="168" fontId="32" fillId="0" borderId="0" xfId="0" applyNumberFormat="1" applyFont="1" applyFill="1"/>
    <xf numFmtId="0" fontId="32" fillId="0" borderId="0" xfId="0" applyFont="1" applyFill="1"/>
    <xf numFmtId="3" fontId="32" fillId="0" borderId="0" xfId="0" applyNumberFormat="1" applyFont="1" applyFill="1"/>
    <xf numFmtId="169" fontId="32" fillId="0" borderId="0" xfId="28" applyNumberFormat="1" applyFont="1" applyFill="1"/>
    <xf numFmtId="3" fontId="36" fillId="0" borderId="0" xfId="0" applyNumberFormat="1" applyFont="1" applyFill="1" applyBorder="1" applyProtection="1">
      <protection locked="0"/>
    </xf>
    <xf numFmtId="3" fontId="32" fillId="0" borderId="0" xfId="28" applyNumberFormat="1" applyFont="1" applyFill="1"/>
    <xf numFmtId="3" fontId="36" fillId="0" borderId="17" xfId="28" applyNumberFormat="1" applyFont="1" applyFill="1" applyBorder="1" applyAlignment="1"/>
    <xf numFmtId="3" fontId="32" fillId="0" borderId="0" xfId="28" applyNumberFormat="1" applyFont="1" applyFill="1" applyBorder="1" applyAlignment="1">
      <alignment horizontal="right"/>
    </xf>
    <xf numFmtId="0" fontId="32" fillId="0" borderId="0" xfId="0" applyNumberFormat="1" applyFont="1" applyFill="1" applyBorder="1" applyProtection="1">
      <protection locked="0"/>
    </xf>
    <xf numFmtId="168" fontId="32" fillId="0" borderId="0" xfId="28" applyNumberFormat="1" applyFont="1" applyFill="1" applyBorder="1" applyAlignment="1"/>
    <xf numFmtId="3" fontId="32" fillId="0" borderId="0" xfId="0" applyNumberFormat="1" applyFont="1" applyFill="1" applyBorder="1" applyProtection="1">
      <protection locked="0"/>
    </xf>
    <xf numFmtId="3" fontId="32" fillId="0" borderId="0" xfId="28" applyNumberFormat="1" applyFont="1" applyFill="1" applyBorder="1" applyAlignment="1"/>
    <xf numFmtId="9" fontId="28" fillId="0" borderId="13" xfId="0" applyNumberFormat="1" applyFont="1" applyFill="1" applyBorder="1" applyAlignment="1">
      <alignment horizontal="right" wrapText="1"/>
    </xf>
    <xf numFmtId="9" fontId="29" fillId="0" borderId="10" xfId="0" applyNumberFormat="1" applyFont="1" applyFill="1" applyBorder="1" applyAlignment="1">
      <alignment horizontal="right" wrapText="1"/>
    </xf>
    <xf numFmtId="9" fontId="29" fillId="0" borderId="20" xfId="0" applyNumberFormat="1" applyFont="1" applyFill="1" applyBorder="1" applyAlignment="1">
      <alignment horizontal="right" wrapText="1"/>
    </xf>
    <xf numFmtId="9" fontId="28" fillId="0" borderId="12" xfId="0" applyNumberFormat="1" applyFont="1" applyFill="1" applyBorder="1" applyAlignment="1">
      <alignment horizontal="right" wrapText="1"/>
    </xf>
    <xf numFmtId="9" fontId="29" fillId="0" borderId="11" xfId="0" applyNumberFormat="1" applyFont="1" applyFill="1" applyBorder="1" applyAlignment="1">
      <alignment horizontal="right" wrapText="1"/>
    </xf>
    <xf numFmtId="3" fontId="56" fillId="0" borderId="0" xfId="28" applyNumberFormat="1" applyFont="1" applyFill="1" applyBorder="1" applyAlignment="1">
      <alignment horizontal="right"/>
    </xf>
    <xf numFmtId="3" fontId="56" fillId="0" borderId="0" xfId="0" applyNumberFormat="1" applyFont="1" applyFill="1"/>
    <xf numFmtId="3" fontId="60" fillId="28" borderId="50" xfId="0" applyNumberFormat="1" applyFont="1" applyFill="1" applyBorder="1" applyAlignment="1">
      <alignment horizontal="center" wrapText="1"/>
    </xf>
    <xf numFmtId="3" fontId="28" fillId="0" borderId="0" xfId="0" applyNumberFormat="1" applyFont="1" applyBorder="1" applyAlignment="1">
      <alignment horizontal="left" wrapText="1"/>
    </xf>
    <xf numFmtId="0" fontId="38" fillId="0" borderId="52" xfId="0" applyFont="1" applyFill="1" applyBorder="1" applyAlignment="1">
      <alignment horizontal="center" vertical="center" wrapText="1"/>
    </xf>
    <xf numFmtId="165" fontId="38" fillId="0" borderId="53" xfId="0" applyNumberFormat="1" applyFont="1" applyBorder="1"/>
    <xf numFmtId="165" fontId="4" fillId="25" borderId="54" xfId="0" applyNumberFormat="1" applyFont="1" applyFill="1" applyBorder="1" applyProtection="1">
      <protection locked="0"/>
    </xf>
    <xf numFmtId="165" fontId="4" fillId="25" borderId="55" xfId="0" applyNumberFormat="1" applyFont="1" applyFill="1" applyBorder="1" applyProtection="1">
      <protection locked="0"/>
    </xf>
    <xf numFmtId="0" fontId="61" fillId="0" borderId="0" xfId="0" applyFont="1"/>
    <xf numFmtId="168" fontId="2" fillId="0" borderId="0" xfId="0" applyNumberFormat="1" applyFont="1" applyBorder="1"/>
    <xf numFmtId="168" fontId="61" fillId="0" borderId="0" xfId="0" applyNumberFormat="1" applyFont="1" applyBorder="1"/>
    <xf numFmtId="168" fontId="4" fillId="0" borderId="0" xfId="0" applyNumberFormat="1" applyFont="1" applyFill="1"/>
    <xf numFmtId="3" fontId="29" fillId="0" borderId="0" xfId="0" applyNumberFormat="1" applyFont="1" applyFill="1" applyAlignment="1">
      <alignment wrapText="1"/>
    </xf>
    <xf numFmtId="0" fontId="47" fillId="0" borderId="12" xfId="0" applyFont="1" applyFill="1" applyBorder="1" applyAlignment="1">
      <alignment wrapText="1"/>
    </xf>
    <xf numFmtId="3" fontId="28" fillId="0" borderId="11" xfId="237" applyNumberFormat="1" applyFont="1" applyFill="1" applyBorder="1" applyAlignment="1">
      <alignment wrapText="1"/>
    </xf>
    <xf numFmtId="0" fontId="57" fillId="28" borderId="0" xfId="0" applyFont="1" applyFill="1" applyAlignment="1">
      <alignment horizontal="center"/>
    </xf>
    <xf numFmtId="3" fontId="29" fillId="0" borderId="13" xfId="0" applyNumberFormat="1" applyFont="1" applyFill="1" applyBorder="1" applyAlignment="1">
      <alignment wrapText="1"/>
    </xf>
    <xf numFmtId="3" fontId="29" fillId="0" borderId="13" xfId="0" applyNumberFormat="1" applyFont="1" applyFill="1" applyBorder="1" applyAlignment="1">
      <alignment horizontal="right" wrapText="1"/>
    </xf>
    <xf numFmtId="3" fontId="29" fillId="0" borderId="56" xfId="0" applyNumberFormat="1" applyFont="1" applyFill="1" applyBorder="1" applyAlignment="1">
      <alignment wrapText="1"/>
    </xf>
    <xf numFmtId="3" fontId="29" fillId="0" borderId="56" xfId="0" applyNumberFormat="1" applyFont="1" applyFill="1" applyBorder="1" applyAlignment="1">
      <alignment horizontal="right" wrapText="1"/>
    </xf>
    <xf numFmtId="3" fontId="29" fillId="0" borderId="57" xfId="0" applyNumberFormat="1" applyFont="1" applyBorder="1" applyAlignment="1">
      <alignment horizontal="right" wrapText="1"/>
    </xf>
    <xf numFmtId="3" fontId="29" fillId="0" borderId="11" xfId="82" applyNumberFormat="1" applyFont="1" applyFill="1" applyBorder="1" applyAlignment="1">
      <alignment horizontal="right"/>
    </xf>
    <xf numFmtId="3" fontId="32" fillId="0" borderId="24" xfId="0" applyNumberFormat="1" applyFont="1" applyFill="1" applyBorder="1" applyAlignment="1">
      <alignment horizontal="right"/>
    </xf>
    <xf numFmtId="3" fontId="28" fillId="0" borderId="0" xfId="0" applyNumberFormat="1" applyFont="1" applyFill="1" applyBorder="1" applyAlignment="1">
      <alignment wrapText="1"/>
    </xf>
    <xf numFmtId="3" fontId="36" fillId="0" borderId="17" xfId="0" applyNumberFormat="1" applyFont="1" applyFill="1" applyBorder="1"/>
    <xf numFmtId="3" fontId="32" fillId="0" borderId="0" xfId="0" applyNumberFormat="1" applyFont="1"/>
    <xf numFmtId="168" fontId="56" fillId="0" borderId="0" xfId="28" applyNumberFormat="1" applyFont="1" applyFill="1" applyBorder="1" applyAlignment="1">
      <alignment horizontal="right"/>
    </xf>
    <xf numFmtId="3" fontId="36" fillId="0" borderId="0" xfId="0" applyNumberFormat="1" applyFont="1" applyFill="1" applyBorder="1"/>
    <xf numFmtId="3" fontId="56" fillId="0" borderId="17" xfId="0" applyNumberFormat="1" applyFont="1" applyFill="1" applyBorder="1"/>
    <xf numFmtId="169" fontId="35" fillId="0" borderId="0" xfId="28" applyNumberFormat="1" applyFont="1" applyFill="1"/>
    <xf numFmtId="0" fontId="36" fillId="0" borderId="0" xfId="0" applyFont="1" applyFill="1"/>
    <xf numFmtId="3" fontId="28" fillId="0" borderId="0" xfId="0" applyNumberFormat="1" applyFont="1" applyBorder="1" applyAlignment="1">
      <alignment wrapText="1"/>
    </xf>
    <xf numFmtId="3" fontId="55" fillId="0" borderId="0" xfId="0" applyNumberFormat="1" applyFont="1"/>
    <xf numFmtId="0" fontId="29" fillId="0" borderId="0" xfId="0" applyFont="1" applyFill="1" applyBorder="1" applyAlignment="1">
      <alignment horizontal="center" wrapText="1"/>
    </xf>
    <xf numFmtId="0" fontId="29" fillId="0" borderId="0" xfId="0" applyFont="1" applyFill="1" applyBorder="1" applyAlignment="1"/>
    <xf numFmtId="9" fontId="29" fillId="0" borderId="0" xfId="0" applyNumberFormat="1" applyFont="1" applyFill="1" applyBorder="1" applyAlignment="1">
      <alignment horizontal="right" wrapText="1"/>
    </xf>
    <xf numFmtId="3" fontId="32" fillId="0" borderId="0" xfId="0" applyNumberFormat="1" applyFont="1" applyFill="1" applyBorder="1"/>
    <xf numFmtId="3" fontId="55" fillId="0" borderId="17" xfId="0" applyNumberFormat="1" applyFont="1" applyFill="1" applyBorder="1"/>
    <xf numFmtId="3" fontId="28" fillId="0" borderId="12" xfId="0" applyNumberFormat="1" applyFont="1" applyFill="1" applyBorder="1" applyAlignment="1">
      <alignment wrapText="1"/>
    </xf>
    <xf numFmtId="0" fontId="27" fillId="0" borderId="13" xfId="0" applyFont="1" applyFill="1" applyBorder="1" applyAlignment="1">
      <alignment horizontal="left" wrapText="1"/>
    </xf>
    <xf numFmtId="0" fontId="28" fillId="0" borderId="13" xfId="0" applyFont="1" applyFill="1" applyBorder="1" applyAlignment="1">
      <alignment horizontal="left" wrapText="1"/>
    </xf>
    <xf numFmtId="0" fontId="28" fillId="0" borderId="13" xfId="0" applyFont="1" applyFill="1" applyBorder="1" applyAlignment="1"/>
    <xf numFmtId="0" fontId="27" fillId="0" borderId="13" xfId="0" applyFont="1" applyFill="1" applyBorder="1" applyAlignment="1"/>
    <xf numFmtId="0" fontId="28" fillId="0" borderId="0" xfId="80" applyFont="1" applyFill="1" applyBorder="1" applyAlignment="1"/>
    <xf numFmtId="0" fontId="27" fillId="0" borderId="0" xfId="0" applyFont="1" applyFill="1" applyBorder="1" applyAlignment="1">
      <alignment horizontal="left" vertical="top" wrapText="1"/>
    </xf>
    <xf numFmtId="0" fontId="28" fillId="0" borderId="0" xfId="237" applyFont="1" applyFill="1" applyBorder="1" applyAlignment="1">
      <alignment horizontal="left" wrapText="1"/>
    </xf>
    <xf numFmtId="0" fontId="27" fillId="0" borderId="0" xfId="0" applyFont="1" applyFill="1" applyBorder="1" applyAlignment="1">
      <alignment vertical="top" wrapText="1"/>
    </xf>
    <xf numFmtId="0" fontId="27" fillId="0" borderId="0" xfId="0" applyFont="1" applyFill="1" applyBorder="1" applyAlignment="1"/>
    <xf numFmtId="0" fontId="27" fillId="0" borderId="0" xfId="0" applyFont="1" applyFill="1" applyBorder="1" applyAlignment="1">
      <alignment horizontal="left" wrapText="1"/>
    </xf>
    <xf numFmtId="0" fontId="29" fillId="0" borderId="16" xfId="0" applyFont="1" applyFill="1" applyBorder="1" applyAlignment="1"/>
    <xf numFmtId="0" fontId="28" fillId="0" borderId="67" xfId="0" applyFont="1" applyFill="1" applyBorder="1" applyAlignment="1">
      <alignment horizontal="center" wrapText="1"/>
    </xf>
    <xf numFmtId="1" fontId="28" fillId="0" borderId="11" xfId="237" applyNumberFormat="1" applyFont="1" applyFill="1" applyBorder="1" applyAlignment="1">
      <alignment horizontal="center" wrapText="1"/>
    </xf>
    <xf numFmtId="1" fontId="28" fillId="0" borderId="11" xfId="0" applyNumberFormat="1" applyFont="1" applyFill="1" applyBorder="1" applyAlignment="1">
      <alignment horizontal="center" vertical="top" wrapText="1"/>
    </xf>
    <xf numFmtId="1" fontId="28" fillId="0" borderId="11" xfId="80" applyNumberFormat="1" applyFont="1" applyFill="1" applyBorder="1" applyAlignment="1">
      <alignment horizontal="center" wrapText="1"/>
    </xf>
    <xf numFmtId="0" fontId="29" fillId="0" borderId="11" xfId="0" quotePrefix="1" applyFont="1" applyFill="1" applyBorder="1" applyAlignment="1">
      <alignment horizontal="center" wrapText="1"/>
    </xf>
    <xf numFmtId="0" fontId="29" fillId="0" borderId="0" xfId="0" applyFont="1" applyBorder="1" applyAlignment="1">
      <alignment horizontal="center" wrapText="1"/>
    </xf>
    <xf numFmtId="0" fontId="29" fillId="0" borderId="0" xfId="0" applyFont="1" applyAlignment="1">
      <alignment horizontal="center" wrapText="1"/>
    </xf>
    <xf numFmtId="0" fontId="28" fillId="0" borderId="13" xfId="0" applyFont="1" applyFill="1" applyBorder="1" applyAlignment="1">
      <alignment horizontal="center" wrapText="1"/>
    </xf>
    <xf numFmtId="167" fontId="28" fillId="0" borderId="13" xfId="0" applyNumberFormat="1" applyFont="1" applyFill="1" applyBorder="1" applyAlignment="1" applyProtection="1">
      <alignment horizontal="center" wrapText="1"/>
      <protection locked="0"/>
    </xf>
    <xf numFmtId="0" fontId="28" fillId="0" borderId="16" xfId="0" applyFont="1" applyFill="1" applyBorder="1" applyAlignment="1">
      <alignment horizontal="center" wrapText="1"/>
    </xf>
    <xf numFmtId="0" fontId="29" fillId="0" borderId="13" xfId="0" applyFont="1" applyFill="1" applyBorder="1" applyAlignment="1">
      <alignment horizontal="center" wrapText="1"/>
    </xf>
    <xf numFmtId="0" fontId="27" fillId="0" borderId="13" xfId="0" applyFont="1" applyFill="1" applyBorder="1" applyAlignment="1">
      <alignment horizontal="center" wrapText="1"/>
    </xf>
    <xf numFmtId="0" fontId="29" fillId="0" borderId="16" xfId="0" applyFont="1" applyFill="1" applyBorder="1" applyAlignment="1">
      <alignment horizontal="center" wrapText="1"/>
    </xf>
    <xf numFmtId="0" fontId="28" fillId="0" borderId="13" xfId="0" quotePrefix="1" applyFont="1" applyFill="1" applyBorder="1" applyAlignment="1">
      <alignment horizontal="center" wrapText="1"/>
    </xf>
    <xf numFmtId="167" fontId="28" fillId="0" borderId="13" xfId="0" quotePrefix="1" applyNumberFormat="1" applyFont="1" applyFill="1" applyBorder="1" applyAlignment="1" applyProtection="1">
      <alignment horizontal="center" wrapText="1"/>
      <protection locked="0"/>
    </xf>
    <xf numFmtId="3" fontId="30" fillId="30" borderId="0" xfId="0" applyNumberFormat="1" applyFont="1" applyFill="1" applyAlignment="1">
      <alignment wrapText="1"/>
    </xf>
    <xf numFmtId="0" fontId="30" fillId="30" borderId="0" xfId="0" applyFont="1" applyFill="1" applyAlignment="1">
      <alignment wrapText="1"/>
    </xf>
    <xf numFmtId="3" fontId="30" fillId="30" borderId="0" xfId="0" applyNumberFormat="1" applyFont="1" applyFill="1" applyBorder="1" applyAlignment="1">
      <alignment horizontal="center" wrapText="1"/>
    </xf>
    <xf numFmtId="0" fontId="30" fillId="30" borderId="0" xfId="0" applyFont="1" applyFill="1" applyBorder="1" applyAlignment="1">
      <alignment horizontal="center" wrapText="1"/>
    </xf>
    <xf numFmtId="3" fontId="31" fillId="30" borderId="0" xfId="0" applyNumberFormat="1" applyFont="1" applyFill="1" applyAlignment="1">
      <alignment wrapText="1"/>
    </xf>
    <xf numFmtId="0" fontId="31" fillId="30" borderId="0" xfId="0" applyFont="1" applyFill="1" applyAlignment="1">
      <alignment wrapText="1"/>
    </xf>
    <xf numFmtId="0" fontId="27" fillId="30" borderId="0" xfId="0" applyFont="1" applyFill="1" applyAlignment="1">
      <alignment horizontal="center"/>
    </xf>
    <xf numFmtId="0" fontId="47" fillId="30" borderId="0" xfId="0" applyFont="1" applyFill="1" applyAlignment="1">
      <alignment horizontal="center"/>
    </xf>
    <xf numFmtId="3" fontId="27" fillId="30" borderId="0" xfId="0" applyNumberFormat="1" applyFont="1" applyFill="1" applyAlignment="1">
      <alignment horizontal="center"/>
    </xf>
    <xf numFmtId="168" fontId="27" fillId="30" borderId="0" xfId="0" applyNumberFormat="1" applyFont="1" applyFill="1" applyAlignment="1">
      <alignment horizontal="center"/>
    </xf>
    <xf numFmtId="3" fontId="27" fillId="30" borderId="0" xfId="0" applyNumberFormat="1" applyFont="1" applyFill="1" applyAlignment="1">
      <alignment horizontal="right"/>
    </xf>
    <xf numFmtId="0" fontId="27" fillId="30" borderId="0" xfId="0" applyFont="1" applyFill="1" applyAlignment="1">
      <alignment horizontal="right"/>
    </xf>
    <xf numFmtId="0" fontId="29" fillId="30" borderId="44" xfId="0" applyFont="1" applyFill="1" applyBorder="1" applyAlignment="1">
      <alignment wrapText="1"/>
    </xf>
    <xf numFmtId="0" fontId="29" fillId="30" borderId="45" xfId="0" applyFont="1" applyFill="1" applyBorder="1" applyAlignment="1">
      <alignment wrapText="1"/>
    </xf>
    <xf numFmtId="0" fontId="29" fillId="30" borderId="46" xfId="0" applyFont="1" applyFill="1" applyBorder="1" applyAlignment="1">
      <alignment wrapText="1"/>
    </xf>
    <xf numFmtId="0" fontId="29" fillId="30" borderId="47" xfId="0" applyFont="1" applyFill="1" applyBorder="1" applyAlignment="1">
      <alignment horizontal="center" wrapText="1"/>
    </xf>
    <xf numFmtId="0" fontId="29" fillId="30" borderId="48" xfId="0" applyFont="1" applyFill="1" applyBorder="1" applyAlignment="1">
      <alignment wrapText="1"/>
    </xf>
    <xf numFmtId="0" fontId="29" fillId="30" borderId="48" xfId="0" applyFont="1" applyFill="1" applyBorder="1" applyAlignment="1">
      <alignment horizontal="center" wrapText="1"/>
    </xf>
    <xf numFmtId="1" fontId="29" fillId="30" borderId="48" xfId="0" applyNumberFormat="1" applyFont="1" applyFill="1" applyBorder="1" applyAlignment="1">
      <alignment horizontal="center" wrapText="1"/>
    </xf>
    <xf numFmtId="1" fontId="29" fillId="30" borderId="49" xfId="0" applyNumberFormat="1" applyFont="1" applyFill="1" applyBorder="1" applyAlignment="1">
      <alignment horizontal="center" wrapText="1"/>
    </xf>
    <xf numFmtId="0" fontId="29" fillId="30" borderId="44" xfId="0" applyFont="1" applyFill="1" applyBorder="1" applyAlignment="1">
      <alignment horizontal="left" wrapText="1"/>
    </xf>
    <xf numFmtId="0" fontId="29" fillId="30" borderId="50" xfId="0" applyFont="1" applyFill="1" applyBorder="1" applyAlignment="1">
      <alignment horizontal="center" wrapText="1"/>
    </xf>
    <xf numFmtId="3" fontId="29" fillId="30" borderId="50" xfId="0" applyNumberFormat="1" applyFont="1" applyFill="1" applyBorder="1" applyAlignment="1">
      <alignment horizontal="center" wrapText="1"/>
    </xf>
    <xf numFmtId="3" fontId="29" fillId="30" borderId="51" xfId="0" applyNumberFormat="1" applyFont="1" applyFill="1" applyBorder="1" applyAlignment="1">
      <alignment horizontal="center" wrapText="1"/>
    </xf>
    <xf numFmtId="3" fontId="29" fillId="30" borderId="45" xfId="0" applyNumberFormat="1" applyFont="1" applyFill="1" applyBorder="1" applyAlignment="1">
      <alignment horizontal="center" wrapText="1"/>
    </xf>
    <xf numFmtId="168" fontId="29" fillId="30" borderId="50" xfId="0" applyNumberFormat="1" applyFont="1" applyFill="1" applyBorder="1" applyAlignment="1">
      <alignment horizontal="center" wrapText="1"/>
    </xf>
    <xf numFmtId="3" fontId="29" fillId="30" borderId="45" xfId="0" quotePrefix="1" applyNumberFormat="1" applyFont="1" applyFill="1" applyBorder="1" applyAlignment="1">
      <alignment horizontal="center" wrapText="1"/>
    </xf>
    <xf numFmtId="0" fontId="30" fillId="30" borderId="0" xfId="0" applyFont="1" applyFill="1" applyAlignment="1">
      <alignment horizontal="center"/>
    </xf>
    <xf numFmtId="0" fontId="53" fillId="28" borderId="24" xfId="0" quotePrefix="1" applyFont="1" applyFill="1" applyBorder="1" applyAlignment="1">
      <alignment horizontal="center" wrapText="1"/>
    </xf>
    <xf numFmtId="9" fontId="32" fillId="0" borderId="24" xfId="28" applyNumberFormat="1" applyFont="1" applyFill="1" applyBorder="1" applyAlignment="1">
      <alignment horizontal="right"/>
    </xf>
    <xf numFmtId="9" fontId="32" fillId="0" borderId="26" xfId="28" applyNumberFormat="1" applyFont="1" applyFill="1" applyBorder="1" applyAlignment="1">
      <alignment horizontal="right"/>
    </xf>
    <xf numFmtId="9" fontId="36" fillId="0" borderId="14" xfId="28" applyNumberFormat="1" applyFont="1" applyFill="1" applyBorder="1" applyAlignment="1">
      <alignment horizontal="right"/>
    </xf>
    <xf numFmtId="9" fontId="36" fillId="0" borderId="0" xfId="28" applyNumberFormat="1" applyFont="1" applyFill="1" applyBorder="1" applyAlignment="1">
      <alignment horizontal="right"/>
    </xf>
    <xf numFmtId="0" fontId="53" fillId="0" borderId="24" xfId="0" applyNumberFormat="1" applyFont="1" applyFill="1" applyBorder="1" applyProtection="1">
      <protection locked="0"/>
    </xf>
    <xf numFmtId="168" fontId="53" fillId="0" borderId="24" xfId="28" applyNumberFormat="1" applyFont="1" applyFill="1" applyBorder="1" applyAlignment="1">
      <alignment horizontal="center" wrapText="1"/>
    </xf>
    <xf numFmtId="0" fontId="53" fillId="0" borderId="24" xfId="0" applyFont="1" applyFill="1" applyBorder="1" applyAlignment="1">
      <alignment horizontal="center" wrapText="1"/>
    </xf>
    <xf numFmtId="0" fontId="53" fillId="0" borderId="24" xfId="0" quotePrefix="1" applyFont="1" applyFill="1" applyBorder="1" applyAlignment="1">
      <alignment horizontal="center" wrapText="1"/>
    </xf>
    <xf numFmtId="3" fontId="53" fillId="0" borderId="24" xfId="0" applyNumberFormat="1" applyFont="1" applyFill="1" applyBorder="1" applyAlignment="1">
      <alignment horizontal="center" wrapText="1"/>
    </xf>
    <xf numFmtId="3" fontId="54" fillId="0" borderId="24" xfId="0" applyNumberFormat="1" applyFont="1" applyFill="1" applyBorder="1" applyAlignment="1">
      <alignment horizontal="center" wrapText="1"/>
    </xf>
    <xf numFmtId="0" fontId="2" fillId="0" borderId="24" xfId="0" applyFont="1" applyFill="1" applyBorder="1" applyAlignment="1">
      <alignment wrapText="1"/>
    </xf>
    <xf numFmtId="0" fontId="51" fillId="0" borderId="24" xfId="0" applyNumberFormat="1" applyFont="1" applyFill="1" applyBorder="1" applyAlignment="1" applyProtection="1">
      <alignment horizontal="center"/>
      <protection locked="0"/>
    </xf>
    <xf numFmtId="0" fontId="51" fillId="28" borderId="0" xfId="0" applyNumberFormat="1" applyFont="1" applyFill="1" applyBorder="1" applyAlignment="1" applyProtection="1">
      <alignment horizontal="center"/>
      <protection locked="0"/>
    </xf>
    <xf numFmtId="0" fontId="32" fillId="0" borderId="11" xfId="0" applyNumberFormat="1" applyFont="1" applyBorder="1" applyProtection="1">
      <protection locked="0"/>
    </xf>
    <xf numFmtId="9" fontId="38" fillId="0" borderId="29" xfId="0" applyNumberFormat="1" applyFont="1" applyFill="1" applyBorder="1" applyProtection="1"/>
    <xf numFmtId="9" fontId="4" fillId="25" borderId="29" xfId="0" applyNumberFormat="1" applyFont="1" applyFill="1" applyBorder="1" applyAlignment="1">
      <alignment horizontal="right"/>
    </xf>
    <xf numFmtId="3" fontId="28" fillId="0" borderId="12" xfId="0" applyNumberFormat="1" applyFont="1" applyFill="1" applyBorder="1" applyAlignment="1">
      <alignment horizontal="center" wrapText="1"/>
    </xf>
    <xf numFmtId="3" fontId="29" fillId="0" borderId="15" xfId="0" applyNumberFormat="1" applyFont="1" applyFill="1" applyBorder="1" applyAlignment="1">
      <alignment horizontal="right" wrapText="1"/>
    </xf>
    <xf numFmtId="3" fontId="29" fillId="0" borderId="15" xfId="28" applyNumberFormat="1" applyFont="1" applyFill="1" applyBorder="1" applyAlignment="1">
      <alignment wrapText="1"/>
    </xf>
    <xf numFmtId="3" fontId="28" fillId="0" borderId="0" xfId="0" applyNumberFormat="1" applyFont="1" applyFill="1" applyBorder="1" applyAlignment="1">
      <alignment horizontal="right" wrapText="1"/>
    </xf>
    <xf numFmtId="3" fontId="29" fillId="0" borderId="15" xfId="0" applyNumberFormat="1" applyFont="1" applyFill="1" applyBorder="1" applyAlignment="1">
      <alignment wrapText="1"/>
    </xf>
    <xf numFmtId="3" fontId="28" fillId="0" borderId="13" xfId="0" applyNumberFormat="1" applyFont="1" applyFill="1" applyBorder="1" applyAlignment="1">
      <alignment horizontal="center" wrapText="1"/>
    </xf>
    <xf numFmtId="3" fontId="28" fillId="0" borderId="26" xfId="0" applyNumberFormat="1" applyFont="1" applyFill="1" applyBorder="1" applyAlignment="1">
      <alignment wrapText="1"/>
    </xf>
    <xf numFmtId="168" fontId="36" fillId="0" borderId="24" xfId="28" applyNumberFormat="1" applyFont="1" applyFill="1" applyBorder="1" applyAlignment="1">
      <alignment horizontal="right"/>
    </xf>
    <xf numFmtId="0" fontId="35" fillId="0" borderId="0" xfId="0" applyFont="1"/>
    <xf numFmtId="0" fontId="38" fillId="0" borderId="0" xfId="0" applyFont="1"/>
    <xf numFmtId="3" fontId="36" fillId="0" borderId="0" xfId="0" applyNumberFormat="1" applyFont="1"/>
    <xf numFmtId="165" fontId="38" fillId="25" borderId="29" xfId="0" applyNumberFormat="1" applyFont="1" applyFill="1" applyBorder="1" applyAlignment="1">
      <alignment horizontal="right"/>
    </xf>
    <xf numFmtId="9" fontId="38" fillId="25" borderId="29" xfId="0" applyNumberFormat="1" applyFont="1" applyFill="1" applyBorder="1" applyAlignment="1">
      <alignment horizontal="right"/>
    </xf>
    <xf numFmtId="9" fontId="38" fillId="0" borderId="31" xfId="675" applyFont="1" applyFill="1" applyBorder="1"/>
    <xf numFmtId="164" fontId="40" fillId="0" borderId="0" xfId="28" applyFont="1"/>
    <xf numFmtId="1" fontId="28" fillId="0" borderId="12" xfId="0" applyNumberFormat="1" applyFont="1" applyFill="1" applyBorder="1" applyAlignment="1">
      <alignment horizontal="center" wrapText="1"/>
    </xf>
    <xf numFmtId="0" fontId="28" fillId="0" borderId="13" xfId="237" applyFont="1" applyFill="1" applyBorder="1" applyAlignment="1">
      <alignment wrapText="1"/>
    </xf>
    <xf numFmtId="0" fontId="28" fillId="0" borderId="68" xfId="0" applyFont="1" applyFill="1" applyBorder="1" applyAlignment="1">
      <alignment horizontal="left" wrapText="1"/>
    </xf>
    <xf numFmtId="0" fontId="27" fillId="0" borderId="13" xfId="0" applyFont="1" applyFill="1" applyBorder="1" applyAlignment="1">
      <alignment wrapText="1"/>
    </xf>
    <xf numFmtId="0" fontId="28" fillId="0" borderId="14" xfId="0" quotePrefix="1" applyFont="1" applyFill="1" applyBorder="1" applyAlignment="1">
      <alignment horizontal="center" wrapText="1"/>
    </xf>
    <xf numFmtId="0" fontId="28" fillId="0" borderId="10" xfId="0" applyFont="1" applyFill="1" applyBorder="1" applyAlignment="1">
      <alignment horizontal="center" wrapText="1"/>
    </xf>
    <xf numFmtId="0" fontId="28" fillId="0" borderId="14" xfId="0" applyNumberFormat="1" applyFont="1" applyFill="1" applyBorder="1" applyAlignment="1" applyProtection="1">
      <alignment wrapText="1"/>
      <protection locked="0"/>
    </xf>
    <xf numFmtId="0" fontId="28" fillId="0" borderId="20" xfId="0" applyFont="1" applyFill="1" applyBorder="1" applyAlignment="1">
      <alignment horizontal="center" wrapText="1"/>
    </xf>
    <xf numFmtId="0" fontId="28" fillId="0" borderId="20" xfId="0" applyNumberFormat="1" applyFont="1" applyFill="1" applyBorder="1" applyAlignment="1" applyProtection="1">
      <alignment wrapText="1"/>
      <protection locked="0"/>
    </xf>
    <xf numFmtId="0" fontId="28" fillId="0" borderId="26" xfId="0" applyNumberFormat="1" applyFont="1" applyFill="1" applyBorder="1" applyAlignment="1" applyProtection="1">
      <alignment wrapText="1"/>
      <protection locked="0"/>
    </xf>
    <xf numFmtId="0" fontId="28" fillId="0" borderId="26" xfId="0" applyFont="1" applyFill="1" applyBorder="1" applyAlignment="1">
      <alignment horizontal="center" wrapText="1"/>
    </xf>
    <xf numFmtId="0" fontId="28" fillId="0" borderId="20" xfId="0" quotePrefix="1" applyFont="1" applyFill="1" applyBorder="1" applyAlignment="1">
      <alignment horizontal="center" wrapText="1"/>
    </xf>
    <xf numFmtId="3" fontId="28" fillId="0" borderId="26" xfId="0" applyNumberFormat="1" applyFont="1" applyFill="1" applyBorder="1" applyAlignment="1">
      <alignment horizontal="right" wrapText="1"/>
    </xf>
    <xf numFmtId="3" fontId="28" fillId="0" borderId="14" xfId="0" applyNumberFormat="1" applyFont="1" applyFill="1" applyBorder="1" applyAlignment="1">
      <alignment horizontal="right" wrapText="1"/>
    </xf>
    <xf numFmtId="0" fontId="28" fillId="0" borderId="26" xfId="0" applyFont="1" applyFill="1" applyBorder="1" applyAlignment="1">
      <alignment horizontal="left" wrapText="1"/>
    </xf>
    <xf numFmtId="3" fontId="29" fillId="30" borderId="69" xfId="0" applyNumberFormat="1" applyFont="1" applyFill="1" applyBorder="1" applyAlignment="1">
      <alignment horizontal="center" wrapText="1"/>
    </xf>
    <xf numFmtId="3" fontId="29" fillId="30" borderId="46" xfId="0" applyNumberFormat="1" applyFont="1" applyFill="1" applyBorder="1" applyAlignment="1">
      <alignment horizontal="center" wrapText="1"/>
    </xf>
    <xf numFmtId="3" fontId="29" fillId="30" borderId="44" xfId="0" quotePrefix="1" applyNumberFormat="1" applyFont="1" applyFill="1" applyBorder="1" applyAlignment="1">
      <alignment horizontal="center" wrapText="1"/>
    </xf>
    <xf numFmtId="3" fontId="28" fillId="0" borderId="18" xfId="0" applyNumberFormat="1" applyFont="1" applyFill="1" applyBorder="1" applyAlignment="1">
      <alignment horizontal="right" wrapText="1"/>
    </xf>
    <xf numFmtId="3" fontId="49" fillId="0" borderId="11" xfId="0" applyNumberFormat="1" applyFont="1" applyFill="1" applyBorder="1" applyAlignment="1">
      <alignment horizontal="right" wrapText="1"/>
    </xf>
    <xf numFmtId="3" fontId="28" fillId="0" borderId="0" xfId="0" applyNumberFormat="1" applyFont="1" applyFill="1" applyBorder="1" applyAlignment="1">
      <alignment horizontal="left" wrapText="1"/>
    </xf>
    <xf numFmtId="0" fontId="29" fillId="0" borderId="11" xfId="0" applyFont="1" applyFill="1" applyBorder="1" applyAlignment="1">
      <alignment wrapText="1"/>
    </xf>
    <xf numFmtId="3" fontId="29" fillId="0" borderId="12" xfId="0" applyNumberFormat="1" applyFont="1" applyFill="1" applyBorder="1" applyAlignment="1">
      <alignment horizontal="right" wrapText="1"/>
    </xf>
    <xf numFmtId="0" fontId="29" fillId="0" borderId="13" xfId="0" applyFont="1" applyFill="1" applyBorder="1" applyAlignment="1"/>
    <xf numFmtId="0" fontId="29" fillId="0" borderId="11" xfId="0" applyFont="1" applyFill="1" applyBorder="1" applyAlignment="1"/>
    <xf numFmtId="3" fontId="50" fillId="0" borderId="0" xfId="0" applyNumberFormat="1" applyFont="1" applyFill="1" applyBorder="1" applyAlignment="1">
      <alignment horizontal="right" wrapText="1"/>
    </xf>
    <xf numFmtId="168" fontId="0" fillId="0" borderId="0" xfId="0" applyNumberFormat="1" applyFill="1"/>
    <xf numFmtId="3" fontId="28" fillId="30" borderId="45" xfId="0" applyNumberFormat="1" applyFont="1" applyFill="1" applyBorder="1" applyAlignment="1">
      <alignment horizontal="center" wrapText="1"/>
    </xf>
    <xf numFmtId="0" fontId="30" fillId="30" borderId="0" xfId="0" applyFont="1" applyFill="1" applyAlignment="1">
      <alignment horizontal="right"/>
    </xf>
    <xf numFmtId="3" fontId="28" fillId="0" borderId="13" xfId="0" applyNumberFormat="1" applyFont="1" applyFill="1" applyBorder="1" applyAlignment="1">
      <alignment horizontal="left" wrapText="1"/>
    </xf>
    <xf numFmtId="3" fontId="28" fillId="0" borderId="11" xfId="0" applyNumberFormat="1" applyFont="1" applyFill="1" applyBorder="1" applyAlignment="1">
      <alignment horizontal="left" wrapText="1"/>
    </xf>
    <xf numFmtId="3" fontId="28" fillId="0" borderId="70" xfId="0" applyNumberFormat="1" applyFont="1" applyFill="1" applyBorder="1" applyAlignment="1">
      <alignment horizontal="center" wrapText="1"/>
    </xf>
    <xf numFmtId="3" fontId="28" fillId="0" borderId="11" xfId="676" applyNumberFormat="1" applyFont="1" applyFill="1" applyBorder="1" applyAlignment="1">
      <alignment horizontal="left" wrapText="1"/>
    </xf>
    <xf numFmtId="0" fontId="28" fillId="0" borderId="0" xfId="0" applyFont="1" applyFill="1" applyAlignment="1">
      <alignment horizontal="justify" vertical="center"/>
    </xf>
    <xf numFmtId="3" fontId="28" fillId="0" borderId="14" xfId="0" applyNumberFormat="1" applyFont="1" applyFill="1" applyBorder="1" applyAlignment="1">
      <alignment horizontal="left" wrapText="1"/>
    </xf>
    <xf numFmtId="3" fontId="28" fillId="0" borderId="20" xfId="0" applyNumberFormat="1" applyFont="1" applyFill="1" applyBorder="1" applyAlignment="1">
      <alignment horizontal="left" wrapText="1"/>
    </xf>
    <xf numFmtId="0" fontId="28" fillId="0" borderId="0" xfId="0" applyFont="1" applyFill="1" applyBorder="1" applyAlignment="1"/>
    <xf numFmtId="3" fontId="28" fillId="0" borderId="14" xfId="28" applyNumberFormat="1" applyFont="1" applyFill="1" applyBorder="1" applyAlignment="1">
      <alignment wrapText="1"/>
    </xf>
    <xf numFmtId="0" fontId="28" fillId="0" borderId="11" xfId="0" applyFont="1" applyFill="1" applyBorder="1" applyAlignment="1">
      <alignment horizontal="left" wrapText="1"/>
    </xf>
    <xf numFmtId="0" fontId="29" fillId="0" borderId="64" xfId="0" applyFont="1" applyFill="1" applyBorder="1" applyAlignment="1">
      <alignment vertical="top" wrapText="1"/>
    </xf>
    <xf numFmtId="0" fontId="29" fillId="0" borderId="65" xfId="0" applyFont="1" applyFill="1" applyBorder="1" applyAlignment="1">
      <alignment vertical="top" wrapText="1"/>
    </xf>
    <xf numFmtId="0" fontId="29" fillId="0" borderId="65" xfId="0" applyFont="1" applyFill="1" applyBorder="1" applyAlignment="1">
      <alignment horizontal="center" vertical="top" wrapText="1"/>
    </xf>
    <xf numFmtId="0" fontId="28" fillId="0" borderId="65" xfId="0" applyFont="1" applyFill="1" applyBorder="1" applyAlignment="1">
      <alignment vertical="top" wrapText="1"/>
    </xf>
    <xf numFmtId="1" fontId="28" fillId="0" borderId="65" xfId="0" applyNumberFormat="1" applyFont="1" applyFill="1" applyBorder="1" applyAlignment="1">
      <alignment horizontal="center" vertical="top" wrapText="1"/>
    </xf>
    <xf numFmtId="0" fontId="29" fillId="0" borderId="65" xfId="0" applyFont="1" applyFill="1" applyBorder="1" applyAlignment="1">
      <alignment horizontal="left" vertical="top" wrapText="1"/>
    </xf>
    <xf numFmtId="3" fontId="49" fillId="0" borderId="65" xfId="0" applyNumberFormat="1" applyFont="1" applyFill="1" applyBorder="1" applyAlignment="1">
      <alignment vertical="top" wrapText="1"/>
    </xf>
    <xf numFmtId="3" fontId="28" fillId="0" borderId="65" xfId="0" applyNumberFormat="1" applyFont="1" applyFill="1" applyBorder="1" applyAlignment="1">
      <alignment vertical="top" wrapText="1"/>
    </xf>
    <xf numFmtId="3" fontId="28" fillId="0" borderId="66" xfId="0" applyNumberFormat="1" applyFont="1" applyFill="1" applyBorder="1" applyAlignment="1">
      <alignment vertical="top" wrapText="1"/>
    </xf>
    <xf numFmtId="0" fontId="28" fillId="0" borderId="58" xfId="0" applyFont="1" applyFill="1" applyBorder="1" applyAlignment="1">
      <alignment wrapText="1"/>
    </xf>
    <xf numFmtId="0" fontId="28" fillId="0" borderId="11" xfId="239" applyFont="1" applyFill="1" applyBorder="1" applyAlignment="1">
      <alignment wrapText="1"/>
    </xf>
    <xf numFmtId="3" fontId="28" fillId="0" borderId="59" xfId="0" applyNumberFormat="1" applyFont="1" applyFill="1" applyBorder="1" applyAlignment="1">
      <alignment wrapText="1"/>
    </xf>
    <xf numFmtId="3" fontId="28" fillId="0" borderId="59" xfId="0" applyNumberFormat="1" applyFont="1" applyFill="1" applyBorder="1" applyAlignment="1">
      <alignment vertical="top" wrapText="1"/>
    </xf>
    <xf numFmtId="0" fontId="29" fillId="0" borderId="58" xfId="0" applyFont="1" applyFill="1" applyBorder="1" applyAlignment="1">
      <alignment vertical="top" wrapText="1"/>
    </xf>
    <xf numFmtId="0" fontId="29" fillId="0" borderId="11" xfId="0" applyFont="1" applyFill="1" applyBorder="1" applyAlignment="1">
      <alignment horizontal="center" vertical="top" wrapText="1"/>
    </xf>
    <xf numFmtId="0" fontId="28" fillId="0" borderId="11" xfId="0" applyFont="1" applyFill="1" applyBorder="1" applyAlignment="1">
      <alignment horizontal="left" vertical="top" wrapText="1"/>
    </xf>
    <xf numFmtId="3" fontId="49" fillId="0" borderId="11" xfId="0" applyNumberFormat="1" applyFont="1" applyFill="1" applyBorder="1" applyAlignment="1">
      <alignment vertical="top" wrapText="1"/>
    </xf>
    <xf numFmtId="3" fontId="29" fillId="0" borderId="14" xfId="0" applyNumberFormat="1" applyFont="1" applyFill="1" applyBorder="1" applyAlignment="1">
      <alignment vertical="top" wrapText="1"/>
    </xf>
    <xf numFmtId="3" fontId="28" fillId="0" borderId="14" xfId="0" applyNumberFormat="1" applyFont="1" applyFill="1" applyBorder="1" applyAlignment="1">
      <alignment vertical="top" wrapText="1"/>
    </xf>
    <xf numFmtId="3" fontId="29" fillId="0" borderId="61" xfId="0" applyNumberFormat="1" applyFont="1" applyFill="1" applyBorder="1" applyAlignment="1">
      <alignment vertical="top" wrapText="1"/>
    </xf>
    <xf numFmtId="3" fontId="29" fillId="0" borderId="0" xfId="0" applyNumberFormat="1" applyFont="1" applyFill="1" applyBorder="1" applyAlignment="1">
      <alignment vertical="top" wrapText="1"/>
    </xf>
    <xf numFmtId="0" fontId="29" fillId="0" borderId="62" xfId="0" applyFont="1" applyFill="1" applyBorder="1" applyAlignment="1">
      <alignment vertical="top" wrapText="1"/>
    </xf>
    <xf numFmtId="0" fontId="29" fillId="0" borderId="60" xfId="0" applyFont="1" applyFill="1" applyBorder="1" applyAlignment="1">
      <alignment vertical="top" wrapText="1"/>
    </xf>
    <xf numFmtId="0" fontId="29" fillId="0" borderId="60" xfId="0" applyFont="1" applyFill="1" applyBorder="1" applyAlignment="1">
      <alignment horizontal="center" vertical="top" wrapText="1"/>
    </xf>
    <xf numFmtId="0" fontId="28" fillId="0" borderId="60" xfId="0" applyFont="1" applyFill="1" applyBorder="1" applyAlignment="1">
      <alignment vertical="top" wrapText="1"/>
    </xf>
    <xf numFmtId="1" fontId="28" fillId="0" borderId="60" xfId="0" applyNumberFormat="1" applyFont="1" applyFill="1" applyBorder="1" applyAlignment="1">
      <alignment horizontal="center" vertical="top" wrapText="1"/>
    </xf>
    <xf numFmtId="0" fontId="28" fillId="0" borderId="60" xfId="0" applyFont="1" applyFill="1" applyBorder="1" applyAlignment="1">
      <alignment horizontal="left" vertical="top" wrapText="1"/>
    </xf>
    <xf numFmtId="3" fontId="49" fillId="0" borderId="60" xfId="0" applyNumberFormat="1" applyFont="1" applyFill="1" applyBorder="1" applyAlignment="1">
      <alignment vertical="top" wrapText="1"/>
    </xf>
    <xf numFmtId="3" fontId="28" fillId="0" borderId="60" xfId="0" applyNumberFormat="1" applyFont="1" applyFill="1" applyBorder="1" applyAlignment="1">
      <alignment vertical="top" wrapText="1"/>
    </xf>
    <xf numFmtId="3" fontId="28" fillId="0" borderId="63" xfId="0" applyNumberFormat="1" applyFont="1" applyFill="1" applyBorder="1" applyAlignment="1">
      <alignment vertical="top" wrapText="1"/>
    </xf>
    <xf numFmtId="3" fontId="28" fillId="0" borderId="11" xfId="0" applyNumberFormat="1" applyFont="1" applyFill="1" applyBorder="1" applyAlignment="1">
      <alignment horizontal="left" vertical="top" wrapText="1"/>
    </xf>
    <xf numFmtId="0" fontId="28" fillId="31" borderId="0" xfId="0" applyFont="1" applyFill="1" applyBorder="1" applyAlignment="1">
      <alignment wrapText="1"/>
    </xf>
    <xf numFmtId="0" fontId="28" fillId="31" borderId="12" xfId="0" applyFont="1" applyFill="1" applyBorder="1" applyAlignment="1">
      <alignment wrapText="1"/>
    </xf>
    <xf numFmtId="0" fontId="28" fillId="31" borderId="11" xfId="0" applyFont="1" applyFill="1" applyBorder="1" applyAlignment="1">
      <alignment horizontal="center" wrapText="1"/>
    </xf>
    <xf numFmtId="0" fontId="28" fillId="31" borderId="13" xfId="0" applyFont="1" applyFill="1" applyBorder="1" applyAlignment="1">
      <alignment horizontal="center" wrapText="1"/>
    </xf>
    <xf numFmtId="0" fontId="28" fillId="31" borderId="13" xfId="0" applyFont="1" applyFill="1" applyBorder="1" applyAlignment="1">
      <alignment wrapText="1"/>
    </xf>
    <xf numFmtId="0" fontId="29" fillId="31" borderId="11" xfId="0" applyFont="1" applyFill="1" applyBorder="1" applyAlignment="1">
      <alignment horizontal="center" wrapText="1"/>
    </xf>
    <xf numFmtId="0" fontId="28" fillId="31" borderId="11" xfId="0" quotePrefix="1" applyFont="1" applyFill="1" applyBorder="1" applyAlignment="1">
      <alignment horizontal="center" wrapText="1"/>
    </xf>
    <xf numFmtId="0" fontId="28" fillId="31" borderId="11" xfId="0" applyFont="1" applyFill="1" applyBorder="1" applyAlignment="1">
      <alignment wrapText="1"/>
    </xf>
    <xf numFmtId="3" fontId="28" fillId="31" borderId="11" xfId="0" applyNumberFormat="1" applyFont="1" applyFill="1" applyBorder="1" applyAlignment="1">
      <alignment horizontal="right" wrapText="1"/>
    </xf>
    <xf numFmtId="9" fontId="28" fillId="31" borderId="11" xfId="0" applyNumberFormat="1" applyFont="1" applyFill="1" applyBorder="1" applyAlignment="1">
      <alignment horizontal="right" wrapText="1"/>
    </xf>
    <xf numFmtId="168" fontId="28" fillId="31" borderId="11" xfId="0" applyNumberFormat="1" applyFont="1" applyFill="1" applyBorder="1" applyAlignment="1">
      <alignment horizontal="right" wrapText="1"/>
    </xf>
    <xf numFmtId="3" fontId="28" fillId="31" borderId="11" xfId="0" applyNumberFormat="1" applyFont="1" applyFill="1" applyBorder="1" applyAlignment="1">
      <alignment wrapText="1"/>
    </xf>
    <xf numFmtId="3" fontId="28" fillId="31" borderId="0" xfId="0" applyNumberFormat="1" applyFont="1" applyFill="1" applyAlignment="1">
      <alignment wrapText="1"/>
    </xf>
    <xf numFmtId="0" fontId="28" fillId="31" borderId="0" xfId="0" applyFont="1" applyFill="1" applyAlignment="1">
      <alignment wrapText="1"/>
    </xf>
    <xf numFmtId="0" fontId="28" fillId="31" borderId="13" xfId="0" quotePrefix="1" applyFont="1" applyFill="1" applyBorder="1" applyAlignment="1">
      <alignment horizontal="center" wrapText="1"/>
    </xf>
    <xf numFmtId="1" fontId="28" fillId="31" borderId="13" xfId="0" applyNumberFormat="1" applyFont="1" applyFill="1" applyBorder="1" applyAlignment="1">
      <alignment horizontal="center" wrapText="1"/>
    </xf>
    <xf numFmtId="0" fontId="28" fillId="31" borderId="19" xfId="0" applyFont="1" applyFill="1" applyBorder="1" applyAlignment="1">
      <alignment wrapText="1"/>
    </xf>
    <xf numFmtId="0" fontId="28" fillId="31" borderId="11" xfId="0" applyFont="1" applyFill="1" applyBorder="1" applyAlignment="1">
      <alignment vertical="top" wrapText="1"/>
    </xf>
    <xf numFmtId="1" fontId="28" fillId="31" borderId="11" xfId="0" applyNumberFormat="1" applyFont="1" applyFill="1" applyBorder="1" applyAlignment="1">
      <alignment horizontal="center" vertical="top" wrapText="1"/>
    </xf>
    <xf numFmtId="3" fontId="28" fillId="31" borderId="11" xfId="0" applyNumberFormat="1" applyFont="1" applyFill="1" applyBorder="1" applyAlignment="1">
      <alignment vertical="top" wrapText="1"/>
    </xf>
    <xf numFmtId="0" fontId="30" fillId="30" borderId="0" xfId="0" applyFont="1" applyFill="1" applyAlignment="1">
      <alignment horizontal="center"/>
    </xf>
    <xf numFmtId="0" fontId="31" fillId="30" borderId="0" xfId="0" applyFont="1" applyFill="1" applyAlignment="1">
      <alignment horizontal="center"/>
    </xf>
    <xf numFmtId="3" fontId="31" fillId="30" borderId="0" xfId="0" applyNumberFormat="1" applyFont="1" applyFill="1" applyAlignment="1">
      <alignment horizontal="center"/>
    </xf>
    <xf numFmtId="0" fontId="31" fillId="0" borderId="0" xfId="0" applyFont="1" applyAlignment="1">
      <alignment horizontal="center"/>
    </xf>
    <xf numFmtId="0" fontId="57" fillId="28" borderId="0" xfId="0" applyFont="1" applyFill="1" applyAlignment="1">
      <alignment horizontal="center"/>
    </xf>
    <xf numFmtId="0" fontId="60" fillId="28" borderId="0" xfId="0" applyFont="1" applyFill="1" applyAlignment="1">
      <alignment horizontal="center"/>
    </xf>
    <xf numFmtId="3" fontId="60" fillId="28" borderId="0" xfId="0" applyNumberFormat="1" applyFont="1" applyFill="1" applyAlignment="1">
      <alignment horizontal="center"/>
    </xf>
  </cellXfs>
  <cellStyles count="677">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Comma" xfId="28" builtinId="3"/>
    <cellStyle name="Comma 10" xfId="29"/>
    <cellStyle name="Comma 11" xfId="30"/>
    <cellStyle name="Comma 12" xfId="31"/>
    <cellStyle name="Comma 13" xfId="32"/>
    <cellStyle name="Comma 2" xfId="33"/>
    <cellStyle name="Comma 2 10" xfId="34"/>
    <cellStyle name="Comma 2 10 2" xfId="35"/>
    <cellStyle name="Comma 2 11" xfId="36"/>
    <cellStyle name="Comma 2 11 2" xfId="37"/>
    <cellStyle name="Comma 2 12" xfId="38"/>
    <cellStyle name="Comma 2 12 2" xfId="39"/>
    <cellStyle name="Comma 2 13" xfId="40"/>
    <cellStyle name="Comma 2 2" xfId="41"/>
    <cellStyle name="Comma 2 2 2" xfId="42"/>
    <cellStyle name="Comma 2 2 3" xfId="43"/>
    <cellStyle name="Comma 2 3" xfId="44"/>
    <cellStyle name="Comma 2 3 2" xfId="45"/>
    <cellStyle name="Comma 2 4" xfId="46"/>
    <cellStyle name="Comma 2 4 2" xfId="47"/>
    <cellStyle name="Comma 2 5" xfId="48"/>
    <cellStyle name="Comma 2 5 2" xfId="49"/>
    <cellStyle name="Comma 2 6" xfId="50"/>
    <cellStyle name="Comma 2 6 2" xfId="51"/>
    <cellStyle name="Comma 2 7" xfId="52"/>
    <cellStyle name="Comma 2 7 2" xfId="53"/>
    <cellStyle name="Comma 2 8" xfId="54"/>
    <cellStyle name="Comma 2 8 2" xfId="55"/>
    <cellStyle name="Comma 2 9" xfId="56"/>
    <cellStyle name="Comma 2 9 2" xfId="57"/>
    <cellStyle name="Comma 3" xfId="58"/>
    <cellStyle name="Comma 4" xfId="59"/>
    <cellStyle name="Comma 5" xfId="60"/>
    <cellStyle name="Comma 5 2" xfId="61"/>
    <cellStyle name="Comma 5 2 2" xfId="62"/>
    <cellStyle name="Comma 5 3" xfId="63"/>
    <cellStyle name="Comma 6" xfId="64"/>
    <cellStyle name="Comma 6 2" xfId="65"/>
    <cellStyle name="Comma 6 3" xfId="66"/>
    <cellStyle name="Explanatory Text 2" xfId="67"/>
    <cellStyle name="Good 2" xfId="68"/>
    <cellStyle name="Heading 1 2" xfId="69"/>
    <cellStyle name="Heading 2 2" xfId="70"/>
    <cellStyle name="Heading 3 2" xfId="71"/>
    <cellStyle name="Heading 4 2" xfId="72"/>
    <cellStyle name="Hyperlink 2" xfId="73"/>
    <cellStyle name="Input 2" xfId="74"/>
    <cellStyle name="Linked Cell 2" xfId="75"/>
    <cellStyle name="Neutral 2" xfId="76"/>
    <cellStyle name="Normal" xfId="0" builtinId="0"/>
    <cellStyle name="Normal 10" xfId="77"/>
    <cellStyle name="Normal 10 2" xfId="78"/>
    <cellStyle name="Normal 10 3" xfId="79"/>
    <cellStyle name="Normal 11" xfId="80"/>
    <cellStyle name="Normal 11 2" xfId="81"/>
    <cellStyle name="Normal 11 2 2" xfId="82"/>
    <cellStyle name="Normal 11 3" xfId="83"/>
    <cellStyle name="Normal 11 3 2" xfId="84"/>
    <cellStyle name="Normal 11 4" xfId="85"/>
    <cellStyle name="Normal 11 4 2" xfId="86"/>
    <cellStyle name="Normal 11 5" xfId="87"/>
    <cellStyle name="Normal 11 5 2" xfId="88"/>
    <cellStyle name="Normal 11 6" xfId="89"/>
    <cellStyle name="Normal 11 7" xfId="90"/>
    <cellStyle name="Normal 12" xfId="91"/>
    <cellStyle name="Normal 12 10" xfId="92"/>
    <cellStyle name="Normal 12 10 2" xfId="93"/>
    <cellStyle name="Normal 12 11" xfId="94"/>
    <cellStyle name="Normal 12 11 2" xfId="95"/>
    <cellStyle name="Normal 12 12" xfId="96"/>
    <cellStyle name="Normal 12 12 2" xfId="97"/>
    <cellStyle name="Normal 12 13" xfId="98"/>
    <cellStyle name="Normal 12 13 2" xfId="99"/>
    <cellStyle name="Normal 12 14" xfId="100"/>
    <cellStyle name="Normal 12 14 2" xfId="101"/>
    <cellStyle name="Normal 12 15" xfId="102"/>
    <cellStyle name="Normal 12 2" xfId="103"/>
    <cellStyle name="Normal 12 2 2" xfId="104"/>
    <cellStyle name="Normal 12 3" xfId="105"/>
    <cellStyle name="Normal 12 3 2" xfId="106"/>
    <cellStyle name="Normal 12 4" xfId="107"/>
    <cellStyle name="Normal 12 4 2" xfId="108"/>
    <cellStyle name="Normal 12 5" xfId="109"/>
    <cellStyle name="Normal 12 5 2" xfId="110"/>
    <cellStyle name="Normal 12 6" xfId="111"/>
    <cellStyle name="Normal 12 6 2" xfId="112"/>
    <cellStyle name="Normal 12 7" xfId="113"/>
    <cellStyle name="Normal 12 7 2" xfId="114"/>
    <cellStyle name="Normal 12 8" xfId="115"/>
    <cellStyle name="Normal 12 8 2" xfId="116"/>
    <cellStyle name="Normal 12 9" xfId="117"/>
    <cellStyle name="Normal 12 9 2" xfId="118"/>
    <cellStyle name="Normal 13" xfId="119"/>
    <cellStyle name="Normal 13 2" xfId="120"/>
    <cellStyle name="Normal 14" xfId="121"/>
    <cellStyle name="Normal 14 2" xfId="122"/>
    <cellStyle name="Normal 14 3" xfId="123"/>
    <cellStyle name="Normal 15" xfId="124"/>
    <cellStyle name="Normal 15 2" xfId="125"/>
    <cellStyle name="Normal 16" xfId="126"/>
    <cellStyle name="Normal 16 2" xfId="127"/>
    <cellStyle name="Normal 17" xfId="128"/>
    <cellStyle name="Normal 17 2" xfId="129"/>
    <cellStyle name="Normal 17 2 2" xfId="130"/>
    <cellStyle name="Normal 17 3" xfId="131"/>
    <cellStyle name="Normal 18" xfId="132"/>
    <cellStyle name="Normal 18 2" xfId="133"/>
    <cellStyle name="Normal 18 3" xfId="134"/>
    <cellStyle name="Normal 19" xfId="135"/>
    <cellStyle name="Normal 19 2" xfId="136"/>
    <cellStyle name="Normal 19 3" xfId="137"/>
    <cellStyle name="Normal 2" xfId="138"/>
    <cellStyle name="Normal 2 10" xfId="139"/>
    <cellStyle name="Normal 2 11" xfId="140"/>
    <cellStyle name="Normal 2 12" xfId="141"/>
    <cellStyle name="Normal 2 13" xfId="142"/>
    <cellStyle name="Normal 2 14" xfId="143"/>
    <cellStyle name="Normal 2 15" xfId="144"/>
    <cellStyle name="Normal 2 16" xfId="145"/>
    <cellStyle name="Normal 2 17" xfId="146"/>
    <cellStyle name="Normal 2 2" xfId="147"/>
    <cellStyle name="Normal 2 2 2" xfId="148"/>
    <cellStyle name="Normal 2 2 3" xfId="149"/>
    <cellStyle name="Normal 2 3" xfId="150"/>
    <cellStyle name="Normal 2 3 2" xfId="151"/>
    <cellStyle name="Normal 2 3 2 2" xfId="152"/>
    <cellStyle name="Normal 2 3 3" xfId="153"/>
    <cellStyle name="Normal 2 3 4" xfId="154"/>
    <cellStyle name="Normal 2 4" xfId="155"/>
    <cellStyle name="Normal 2 4 2" xfId="156"/>
    <cellStyle name="Normal 2 5" xfId="157"/>
    <cellStyle name="Normal 2 6" xfId="158"/>
    <cellStyle name="Normal 2 7" xfId="159"/>
    <cellStyle name="Normal 2 8" xfId="160"/>
    <cellStyle name="Normal 2 9" xfId="161"/>
    <cellStyle name="Normal 20" xfId="162"/>
    <cellStyle name="Normal 20 2" xfId="163"/>
    <cellStyle name="Normal 20 3" xfId="164"/>
    <cellStyle name="Normal 21" xfId="165"/>
    <cellStyle name="Normal 21 2" xfId="166"/>
    <cellStyle name="Normal 21 3" xfId="167"/>
    <cellStyle name="Normal 22" xfId="168"/>
    <cellStyle name="Normal 22 2" xfId="169"/>
    <cellStyle name="Normal 22 3" xfId="170"/>
    <cellStyle name="Normal 23" xfId="171"/>
    <cellStyle name="Normal 23 2" xfId="172"/>
    <cellStyle name="Normal 23 3" xfId="173"/>
    <cellStyle name="Normal 24" xfId="174"/>
    <cellStyle name="Normal 24 2" xfId="175"/>
    <cellStyle name="Normal 24 3" xfId="176"/>
    <cellStyle name="Normal 24 4" xfId="177"/>
    <cellStyle name="Normal 25" xfId="178"/>
    <cellStyle name="Normal 25 2" xfId="179"/>
    <cellStyle name="Normal 25 3" xfId="180"/>
    <cellStyle name="Normal 25 4" xfId="181"/>
    <cellStyle name="Normal 26" xfId="182"/>
    <cellStyle name="Normal 26 2" xfId="183"/>
    <cellStyle name="Normal 26 2 2" xfId="184"/>
    <cellStyle name="Normal 26 3" xfId="185"/>
    <cellStyle name="Normal 27" xfId="186"/>
    <cellStyle name="Normal 27 2" xfId="187"/>
    <cellStyle name="Normal 27 2 2" xfId="188"/>
    <cellStyle name="Normal 27 3" xfId="189"/>
    <cellStyle name="Normal 28" xfId="190"/>
    <cellStyle name="Normal 28 2" xfId="191"/>
    <cellStyle name="Normal 28 2 2" xfId="192"/>
    <cellStyle name="Normal 28 3" xfId="193"/>
    <cellStyle name="Normal 29" xfId="194"/>
    <cellStyle name="Normal 29 2" xfId="195"/>
    <cellStyle name="Normal 29 2 2" xfId="196"/>
    <cellStyle name="Normal 29 3" xfId="197"/>
    <cellStyle name="Normal 3" xfId="198"/>
    <cellStyle name="Normal 3 10" xfId="199"/>
    <cellStyle name="Normal 3 11" xfId="200"/>
    <cellStyle name="Normal 3 12" xfId="201"/>
    <cellStyle name="Normal 3 2" xfId="202"/>
    <cellStyle name="Normal 3 2 2" xfId="203"/>
    <cellStyle name="Normal 3 3" xfId="204"/>
    <cellStyle name="Normal 3 4" xfId="205"/>
    <cellStyle name="Normal 3 5" xfId="206"/>
    <cellStyle name="Normal 3 6" xfId="207"/>
    <cellStyle name="Normal 3 7" xfId="208"/>
    <cellStyle name="Normal 3 8" xfId="209"/>
    <cellStyle name="Normal 3 9" xfId="210"/>
    <cellStyle name="Normal 30" xfId="211"/>
    <cellStyle name="Normal 30 2" xfId="212"/>
    <cellStyle name="Normal 30 2 2" xfId="213"/>
    <cellStyle name="Normal 30 3" xfId="214"/>
    <cellStyle name="Normal 31" xfId="215"/>
    <cellStyle name="Normal 32" xfId="676"/>
    <cellStyle name="Normal 4" xfId="216"/>
    <cellStyle name="Normal 4 10" xfId="217"/>
    <cellStyle name="Normal 4 10 2" xfId="218"/>
    <cellStyle name="Normal 4 11" xfId="219"/>
    <cellStyle name="Normal 4 11 2" xfId="220"/>
    <cellStyle name="Normal 4 12" xfId="221"/>
    <cellStyle name="Normal 4 12 2" xfId="222"/>
    <cellStyle name="Normal 4 13" xfId="223"/>
    <cellStyle name="Normal 4 13 2" xfId="224"/>
    <cellStyle name="Normal 4 14" xfId="225"/>
    <cellStyle name="Normal 4 14 2" xfId="226"/>
    <cellStyle name="Normal 4 15" xfId="227"/>
    <cellStyle name="Normal 4 15 2" xfId="228"/>
    <cellStyle name="Normal 4 16" xfId="229"/>
    <cellStyle name="Normal 4 16 2" xfId="230"/>
    <cellStyle name="Normal 4 17" xfId="231"/>
    <cellStyle name="Normal 4 17 2" xfId="232"/>
    <cellStyle name="Normal 4 18" xfId="233"/>
    <cellStyle name="Normal 4 18 2" xfId="234"/>
    <cellStyle name="Normal 4 19" xfId="235"/>
    <cellStyle name="Normal 4 19 2" xfId="236"/>
    <cellStyle name="Normal 4 2" xfId="237"/>
    <cellStyle name="Normal 4 2 10" xfId="238"/>
    <cellStyle name="Normal 4 2 10 2" xfId="239"/>
    <cellStyle name="Normal 4 2 11" xfId="240"/>
    <cellStyle name="Normal 4 2 11 2" xfId="241"/>
    <cellStyle name="Normal 4 2 12" xfId="242"/>
    <cellStyle name="Normal 4 2 12 2" xfId="243"/>
    <cellStyle name="Normal 4 2 13" xfId="244"/>
    <cellStyle name="Normal 4 2 13 2" xfId="245"/>
    <cellStyle name="Normal 4 2 14" xfId="246"/>
    <cellStyle name="Normal 4 2 14 2" xfId="247"/>
    <cellStyle name="Normal 4 2 15" xfId="248"/>
    <cellStyle name="Normal 4 2 15 2" xfId="249"/>
    <cellStyle name="Normal 4 2 16" xfId="250"/>
    <cellStyle name="Normal 4 2 16 2" xfId="251"/>
    <cellStyle name="Normal 4 2 17" xfId="252"/>
    <cellStyle name="Normal 4 2 17 2" xfId="253"/>
    <cellStyle name="Normal 4 2 18" xfId="254"/>
    <cellStyle name="Normal 4 2 2" xfId="255"/>
    <cellStyle name="Normal 4 2 2 2" xfId="256"/>
    <cellStyle name="Normal 4 2 3" xfId="257"/>
    <cellStyle name="Normal 4 2 3 2" xfId="258"/>
    <cellStyle name="Normal 4 2 4" xfId="259"/>
    <cellStyle name="Normal 4 2 4 2" xfId="260"/>
    <cellStyle name="Normal 4 2 5" xfId="261"/>
    <cellStyle name="Normal 4 2 5 2" xfId="262"/>
    <cellStyle name="Normal 4 2 6" xfId="263"/>
    <cellStyle name="Normal 4 2 6 2" xfId="264"/>
    <cellStyle name="Normal 4 2 7" xfId="265"/>
    <cellStyle name="Normal 4 2 7 2" xfId="266"/>
    <cellStyle name="Normal 4 2 8" xfId="267"/>
    <cellStyle name="Normal 4 2 8 2" xfId="268"/>
    <cellStyle name="Normal 4 2 9" xfId="269"/>
    <cellStyle name="Normal 4 2 9 2" xfId="270"/>
    <cellStyle name="Normal 4 20" xfId="271"/>
    <cellStyle name="Normal 4 20 2" xfId="272"/>
    <cellStyle name="Normal 4 21" xfId="273"/>
    <cellStyle name="Normal 4 21 2" xfId="274"/>
    <cellStyle name="Normal 4 22" xfId="275"/>
    <cellStyle name="Normal 4 22 2" xfId="276"/>
    <cellStyle name="Normal 4 23" xfId="277"/>
    <cellStyle name="Normal 4 23 2" xfId="278"/>
    <cellStyle name="Normal 4 24" xfId="279"/>
    <cellStyle name="Normal 4 3" xfId="280"/>
    <cellStyle name="Normal 4 3 10" xfId="281"/>
    <cellStyle name="Normal 4 3 10 2" xfId="282"/>
    <cellStyle name="Normal 4 3 11" xfId="283"/>
    <cellStyle name="Normal 4 3 11 2" xfId="284"/>
    <cellStyle name="Normal 4 3 12" xfId="285"/>
    <cellStyle name="Normal 4 3 12 2" xfId="286"/>
    <cellStyle name="Normal 4 3 13" xfId="287"/>
    <cellStyle name="Normal 4 3 13 2" xfId="288"/>
    <cellStyle name="Normal 4 3 14" xfId="289"/>
    <cellStyle name="Normal 4 3 14 2" xfId="290"/>
    <cellStyle name="Normal 4 3 15" xfId="291"/>
    <cellStyle name="Normal 4 3 15 2" xfId="292"/>
    <cellStyle name="Normal 4 3 16" xfId="293"/>
    <cellStyle name="Normal 4 3 16 2" xfId="294"/>
    <cellStyle name="Normal 4 3 17" xfId="295"/>
    <cellStyle name="Normal 4 3 17 2" xfId="296"/>
    <cellStyle name="Normal 4 3 18" xfId="297"/>
    <cellStyle name="Normal 4 3 2" xfId="298"/>
    <cellStyle name="Normal 4 3 2 2" xfId="299"/>
    <cellStyle name="Normal 4 3 3" xfId="300"/>
    <cellStyle name="Normal 4 3 3 2" xfId="301"/>
    <cellStyle name="Normal 4 3 4" xfId="302"/>
    <cellStyle name="Normal 4 3 4 2" xfId="303"/>
    <cellStyle name="Normal 4 3 5" xfId="304"/>
    <cellStyle name="Normal 4 3 5 2" xfId="305"/>
    <cellStyle name="Normal 4 3 6" xfId="306"/>
    <cellStyle name="Normal 4 3 6 2" xfId="307"/>
    <cellStyle name="Normal 4 3 7" xfId="308"/>
    <cellStyle name="Normal 4 3 7 2" xfId="309"/>
    <cellStyle name="Normal 4 3 8" xfId="310"/>
    <cellStyle name="Normal 4 3 8 2" xfId="311"/>
    <cellStyle name="Normal 4 3 9" xfId="312"/>
    <cellStyle name="Normal 4 3 9 2" xfId="313"/>
    <cellStyle name="Normal 4 4" xfId="314"/>
    <cellStyle name="Normal 4 4 10" xfId="315"/>
    <cellStyle name="Normal 4 4 10 2" xfId="316"/>
    <cellStyle name="Normal 4 4 11" xfId="317"/>
    <cellStyle name="Normal 4 4 11 2" xfId="318"/>
    <cellStyle name="Normal 4 4 12" xfId="319"/>
    <cellStyle name="Normal 4 4 12 2" xfId="320"/>
    <cellStyle name="Normal 4 4 13" xfId="321"/>
    <cellStyle name="Normal 4 4 13 2" xfId="322"/>
    <cellStyle name="Normal 4 4 14" xfId="323"/>
    <cellStyle name="Normal 4 4 14 2" xfId="324"/>
    <cellStyle name="Normal 4 4 15" xfId="325"/>
    <cellStyle name="Normal 4 4 15 2" xfId="326"/>
    <cellStyle name="Normal 4 4 16" xfId="327"/>
    <cellStyle name="Normal 4 4 16 2" xfId="328"/>
    <cellStyle name="Normal 4 4 17" xfId="329"/>
    <cellStyle name="Normal 4 4 17 2" xfId="330"/>
    <cellStyle name="Normal 4 4 18" xfId="331"/>
    <cellStyle name="Normal 4 4 2" xfId="332"/>
    <cellStyle name="Normal 4 4 2 2" xfId="333"/>
    <cellStyle name="Normal 4 4 3" xfId="334"/>
    <cellStyle name="Normal 4 4 3 2" xfId="335"/>
    <cellStyle name="Normal 4 4 4" xfId="336"/>
    <cellStyle name="Normal 4 4 4 2" xfId="337"/>
    <cellStyle name="Normal 4 4 5" xfId="338"/>
    <cellStyle name="Normal 4 4 5 2" xfId="339"/>
    <cellStyle name="Normal 4 4 6" xfId="340"/>
    <cellStyle name="Normal 4 4 6 2" xfId="341"/>
    <cellStyle name="Normal 4 4 7" xfId="342"/>
    <cellStyle name="Normal 4 4 7 2" xfId="343"/>
    <cellStyle name="Normal 4 4 8" xfId="344"/>
    <cellStyle name="Normal 4 4 8 2" xfId="345"/>
    <cellStyle name="Normal 4 4 9" xfId="346"/>
    <cellStyle name="Normal 4 4 9 2" xfId="347"/>
    <cellStyle name="Normal 4 5" xfId="348"/>
    <cellStyle name="Normal 4 5 2" xfId="349"/>
    <cellStyle name="Normal 4 6" xfId="350"/>
    <cellStyle name="Normal 4 6 2" xfId="351"/>
    <cellStyle name="Normal 4 7" xfId="352"/>
    <cellStyle name="Normal 4 7 2" xfId="353"/>
    <cellStyle name="Normal 4 8" xfId="354"/>
    <cellStyle name="Normal 4 8 2" xfId="355"/>
    <cellStyle name="Normal 4 9" xfId="356"/>
    <cellStyle name="Normal 4 9 2" xfId="357"/>
    <cellStyle name="Normal 5" xfId="358"/>
    <cellStyle name="Normal 5 2" xfId="359"/>
    <cellStyle name="Normal 5 2 2" xfId="360"/>
    <cellStyle name="Normal 5 2 2 2" xfId="361"/>
    <cellStyle name="Normal 5 2 2 3" xfId="362"/>
    <cellStyle name="Normal 5 2 3" xfId="363"/>
    <cellStyle name="Normal 5 3" xfId="364"/>
    <cellStyle name="Normal 5 4" xfId="365"/>
    <cellStyle name="Normal 5 5" xfId="366"/>
    <cellStyle name="Normal 5 6" xfId="367"/>
    <cellStyle name="Normal 5 6 2" xfId="368"/>
    <cellStyle name="Normal 5 6 3" xfId="369"/>
    <cellStyle name="Normal 5 7" xfId="370"/>
    <cellStyle name="Normal 6" xfId="371"/>
    <cellStyle name="Normal 6 2" xfId="372"/>
    <cellStyle name="Normal 6 2 2" xfId="373"/>
    <cellStyle name="Normal 6 2 3" xfId="374"/>
    <cellStyle name="Normal 6 3" xfId="375"/>
    <cellStyle name="Normal 7" xfId="376"/>
    <cellStyle name="Normal 7 2" xfId="377"/>
    <cellStyle name="Normal 7 3" xfId="378"/>
    <cellStyle name="Normal 8" xfId="379"/>
    <cellStyle name="Normal 8 10" xfId="380"/>
    <cellStyle name="Normal 8 10 2" xfId="381"/>
    <cellStyle name="Normal 8 11" xfId="382"/>
    <cellStyle name="Normal 8 11 2" xfId="383"/>
    <cellStyle name="Normal 8 12" xfId="384"/>
    <cellStyle name="Normal 8 12 2" xfId="385"/>
    <cellStyle name="Normal 8 13" xfId="386"/>
    <cellStyle name="Normal 8 13 2" xfId="387"/>
    <cellStyle name="Normal 8 14" xfId="388"/>
    <cellStyle name="Normal 8 14 2" xfId="389"/>
    <cellStyle name="Normal 8 15" xfId="390"/>
    <cellStyle name="Normal 8 15 2" xfId="391"/>
    <cellStyle name="Normal 8 16" xfId="392"/>
    <cellStyle name="Normal 8 16 2" xfId="393"/>
    <cellStyle name="Normal 8 17" xfId="394"/>
    <cellStyle name="Normal 8 17 2" xfId="395"/>
    <cellStyle name="Normal 8 18" xfId="396"/>
    <cellStyle name="Normal 8 18 2" xfId="397"/>
    <cellStyle name="Normal 8 19" xfId="398"/>
    <cellStyle name="Normal 8 19 2" xfId="399"/>
    <cellStyle name="Normal 8 2" xfId="400"/>
    <cellStyle name="Normal 8 2 2" xfId="401"/>
    <cellStyle name="Normal 8 2 3" xfId="402"/>
    <cellStyle name="Normal 8 20" xfId="403"/>
    <cellStyle name="Normal 8 20 2" xfId="404"/>
    <cellStyle name="Normal 8 21" xfId="405"/>
    <cellStyle name="Normal 8 21 2" xfId="406"/>
    <cellStyle name="Normal 8 22" xfId="407"/>
    <cellStyle name="Normal 8 22 2" xfId="408"/>
    <cellStyle name="Normal 8 23" xfId="409"/>
    <cellStyle name="Normal 8 3" xfId="410"/>
    <cellStyle name="Normal 8 3 2" xfId="411"/>
    <cellStyle name="Normal 8 4" xfId="412"/>
    <cellStyle name="Normal 8 4 2" xfId="413"/>
    <cellStyle name="Normal 8 5" xfId="414"/>
    <cellStyle name="Normal 8 5 2" xfId="415"/>
    <cellStyle name="Normal 8 6" xfId="416"/>
    <cellStyle name="Normal 8 6 2" xfId="417"/>
    <cellStyle name="Normal 8 7" xfId="418"/>
    <cellStyle name="Normal 8 7 2" xfId="419"/>
    <cellStyle name="Normal 8 8" xfId="420"/>
    <cellStyle name="Normal 8 8 2" xfId="421"/>
    <cellStyle name="Normal 8 9" xfId="422"/>
    <cellStyle name="Normal 8 9 2" xfId="423"/>
    <cellStyle name="Normal 9" xfId="424"/>
    <cellStyle name="Normal 9 2" xfId="425"/>
    <cellStyle name="Normal 9 3" xfId="426"/>
    <cellStyle name="Note 2" xfId="427"/>
    <cellStyle name="Note 2 2" xfId="428"/>
    <cellStyle name="Note 2 3" xfId="429"/>
    <cellStyle name="Output 2" xfId="430"/>
    <cellStyle name="Percent" xfId="675" builtinId="5"/>
    <cellStyle name="Percent 10" xfId="431"/>
    <cellStyle name="Percent 10 2" xfId="432"/>
    <cellStyle name="Percent 10 2 10" xfId="433"/>
    <cellStyle name="Percent 10 2 11" xfId="434"/>
    <cellStyle name="Percent 10 2 12" xfId="435"/>
    <cellStyle name="Percent 10 2 13" xfId="436"/>
    <cellStyle name="Percent 10 2 14" xfId="437"/>
    <cellStyle name="Percent 10 2 2" xfId="438"/>
    <cellStyle name="Percent 10 2 3" xfId="439"/>
    <cellStyle name="Percent 10 2 4" xfId="440"/>
    <cellStyle name="Percent 10 2 5" xfId="441"/>
    <cellStyle name="Percent 10 2 6" xfId="442"/>
    <cellStyle name="Percent 10 2 7" xfId="443"/>
    <cellStyle name="Percent 10 2 8" xfId="444"/>
    <cellStyle name="Percent 10 2 9" xfId="445"/>
    <cellStyle name="Percent 10 3" xfId="446"/>
    <cellStyle name="Percent 11" xfId="447"/>
    <cellStyle name="Percent 2" xfId="448"/>
    <cellStyle name="Percent 2 10" xfId="449"/>
    <cellStyle name="Percent 2 10 2" xfId="450"/>
    <cellStyle name="Percent 2 11" xfId="451"/>
    <cellStyle name="Percent 2 11 2" xfId="452"/>
    <cellStyle name="Percent 2 12" xfId="453"/>
    <cellStyle name="Percent 2 12 2" xfId="454"/>
    <cellStyle name="Percent 2 13" xfId="455"/>
    <cellStyle name="Percent 2 13 2" xfId="456"/>
    <cellStyle name="Percent 2 14" xfId="457"/>
    <cellStyle name="Percent 2 14 2" xfId="458"/>
    <cellStyle name="Percent 2 15" xfId="459"/>
    <cellStyle name="Percent 2 2" xfId="460"/>
    <cellStyle name="Percent 2 2 2" xfId="461"/>
    <cellStyle name="Percent 2 3" xfId="462"/>
    <cellStyle name="Percent 2 3 2" xfId="463"/>
    <cellStyle name="Percent 2 4" xfId="464"/>
    <cellStyle name="Percent 2 4 2" xfId="465"/>
    <cellStyle name="Percent 2 5" xfId="466"/>
    <cellStyle name="Percent 2 5 2" xfId="467"/>
    <cellStyle name="Percent 2 6" xfId="468"/>
    <cellStyle name="Percent 2 6 2" xfId="469"/>
    <cellStyle name="Percent 2 7" xfId="470"/>
    <cellStyle name="Percent 2 7 2" xfId="471"/>
    <cellStyle name="Percent 2 8" xfId="472"/>
    <cellStyle name="Percent 2 8 2" xfId="473"/>
    <cellStyle name="Percent 2 9" xfId="474"/>
    <cellStyle name="Percent 2 9 2" xfId="475"/>
    <cellStyle name="Percent 3" xfId="476"/>
    <cellStyle name="Percent 3 10" xfId="477"/>
    <cellStyle name="Percent 3 10 2" xfId="478"/>
    <cellStyle name="Percent 3 11" xfId="479"/>
    <cellStyle name="Percent 3 11 2" xfId="480"/>
    <cellStyle name="Percent 3 12" xfId="481"/>
    <cellStyle name="Percent 3 12 2" xfId="482"/>
    <cellStyle name="Percent 3 13" xfId="483"/>
    <cellStyle name="Percent 3 13 2" xfId="484"/>
    <cellStyle name="Percent 3 14" xfId="485"/>
    <cellStyle name="Percent 3 14 2" xfId="486"/>
    <cellStyle name="Percent 3 15" xfId="487"/>
    <cellStyle name="Percent 3 2" xfId="488"/>
    <cellStyle name="Percent 3 2 2" xfId="489"/>
    <cellStyle name="Percent 3 3" xfId="490"/>
    <cellStyle name="Percent 3 3 2" xfId="491"/>
    <cellStyle name="Percent 3 4" xfId="492"/>
    <cellStyle name="Percent 3 4 2" xfId="493"/>
    <cellStyle name="Percent 3 5" xfId="494"/>
    <cellStyle name="Percent 3 5 2" xfId="495"/>
    <cellStyle name="Percent 3 6" xfId="496"/>
    <cellStyle name="Percent 3 6 2" xfId="497"/>
    <cellStyle name="Percent 3 7" xfId="498"/>
    <cellStyle name="Percent 3 7 2" xfId="499"/>
    <cellStyle name="Percent 3 8" xfId="500"/>
    <cellStyle name="Percent 3 8 2" xfId="501"/>
    <cellStyle name="Percent 3 9" xfId="502"/>
    <cellStyle name="Percent 3 9 2" xfId="503"/>
    <cellStyle name="Percent 4" xfId="504"/>
    <cellStyle name="Percent 4 10" xfId="505"/>
    <cellStyle name="Percent 4 10 2" xfId="506"/>
    <cellStyle name="Percent 4 11" xfId="507"/>
    <cellStyle name="Percent 4 11 2" xfId="508"/>
    <cellStyle name="Percent 4 12" xfId="509"/>
    <cellStyle name="Percent 4 12 2" xfId="510"/>
    <cellStyle name="Percent 4 13" xfId="511"/>
    <cellStyle name="Percent 4 13 2" xfId="512"/>
    <cellStyle name="Percent 4 14" xfId="513"/>
    <cellStyle name="Percent 4 14 2" xfId="514"/>
    <cellStyle name="Percent 4 15" xfId="515"/>
    <cellStyle name="Percent 4 2" xfId="516"/>
    <cellStyle name="Percent 4 2 2" xfId="517"/>
    <cellStyle name="Percent 4 3" xfId="518"/>
    <cellStyle name="Percent 4 3 2" xfId="519"/>
    <cellStyle name="Percent 4 4" xfId="520"/>
    <cellStyle name="Percent 4 4 2" xfId="521"/>
    <cellStyle name="Percent 4 5" xfId="522"/>
    <cellStyle name="Percent 4 5 2" xfId="523"/>
    <cellStyle name="Percent 4 6" xfId="524"/>
    <cellStyle name="Percent 4 6 2" xfId="525"/>
    <cellStyle name="Percent 4 7" xfId="526"/>
    <cellStyle name="Percent 4 7 2" xfId="527"/>
    <cellStyle name="Percent 4 8" xfId="528"/>
    <cellStyle name="Percent 4 8 2" xfId="529"/>
    <cellStyle name="Percent 4 9" xfId="530"/>
    <cellStyle name="Percent 4 9 2" xfId="531"/>
    <cellStyle name="Percent 5" xfId="532"/>
    <cellStyle name="Percent 5 10" xfId="533"/>
    <cellStyle name="Percent 5 10 2" xfId="534"/>
    <cellStyle name="Percent 5 11" xfId="535"/>
    <cellStyle name="Percent 5 11 2" xfId="536"/>
    <cellStyle name="Percent 5 12" xfId="537"/>
    <cellStyle name="Percent 5 12 2" xfId="538"/>
    <cellStyle name="Percent 5 13" xfId="539"/>
    <cellStyle name="Percent 5 13 2" xfId="540"/>
    <cellStyle name="Percent 5 14" xfId="541"/>
    <cellStyle name="Percent 5 14 2" xfId="542"/>
    <cellStyle name="Percent 5 15" xfId="543"/>
    <cellStyle name="Percent 5 2" xfId="544"/>
    <cellStyle name="Percent 5 2 2" xfId="545"/>
    <cellStyle name="Percent 5 3" xfId="546"/>
    <cellStyle name="Percent 5 3 2" xfId="547"/>
    <cellStyle name="Percent 5 4" xfId="548"/>
    <cellStyle name="Percent 5 4 2" xfId="549"/>
    <cellStyle name="Percent 5 5" xfId="550"/>
    <cellStyle name="Percent 5 5 2" xfId="551"/>
    <cellStyle name="Percent 5 6" xfId="552"/>
    <cellStyle name="Percent 5 6 2" xfId="553"/>
    <cellStyle name="Percent 5 7" xfId="554"/>
    <cellStyle name="Percent 5 7 2" xfId="555"/>
    <cellStyle name="Percent 5 8" xfId="556"/>
    <cellStyle name="Percent 5 8 2" xfId="557"/>
    <cellStyle name="Percent 5 9" xfId="558"/>
    <cellStyle name="Percent 5 9 2" xfId="559"/>
    <cellStyle name="Percent 6" xfId="560"/>
    <cellStyle name="Percent 6 10" xfId="561"/>
    <cellStyle name="Percent 6 10 2" xfId="562"/>
    <cellStyle name="Percent 6 11" xfId="563"/>
    <cellStyle name="Percent 6 11 2" xfId="564"/>
    <cellStyle name="Percent 6 12" xfId="565"/>
    <cellStyle name="Percent 6 12 2" xfId="566"/>
    <cellStyle name="Percent 6 13" xfId="567"/>
    <cellStyle name="Percent 6 13 2" xfId="568"/>
    <cellStyle name="Percent 6 14" xfId="569"/>
    <cellStyle name="Percent 6 14 2" xfId="570"/>
    <cellStyle name="Percent 6 15" xfId="571"/>
    <cellStyle name="Percent 6 2" xfId="572"/>
    <cellStyle name="Percent 6 2 2" xfId="573"/>
    <cellStyle name="Percent 6 3" xfId="574"/>
    <cellStyle name="Percent 6 3 2" xfId="575"/>
    <cellStyle name="Percent 6 4" xfId="576"/>
    <cellStyle name="Percent 6 4 2" xfId="577"/>
    <cellStyle name="Percent 6 5" xfId="578"/>
    <cellStyle name="Percent 6 5 2" xfId="579"/>
    <cellStyle name="Percent 6 6" xfId="580"/>
    <cellStyle name="Percent 6 6 2" xfId="581"/>
    <cellStyle name="Percent 6 7" xfId="582"/>
    <cellStyle name="Percent 6 7 2" xfId="583"/>
    <cellStyle name="Percent 6 8" xfId="584"/>
    <cellStyle name="Percent 6 8 2" xfId="585"/>
    <cellStyle name="Percent 6 9" xfId="586"/>
    <cellStyle name="Percent 6 9 2" xfId="587"/>
    <cellStyle name="Percent 7" xfId="588"/>
    <cellStyle name="Percent 7 10" xfId="589"/>
    <cellStyle name="Percent 7 10 2" xfId="590"/>
    <cellStyle name="Percent 7 11" xfId="591"/>
    <cellStyle name="Percent 7 11 2" xfId="592"/>
    <cellStyle name="Percent 7 12" xfId="593"/>
    <cellStyle name="Percent 7 12 2" xfId="594"/>
    <cellStyle name="Percent 7 13" xfId="595"/>
    <cellStyle name="Percent 7 13 2" xfId="596"/>
    <cellStyle name="Percent 7 14" xfId="597"/>
    <cellStyle name="Percent 7 14 2" xfId="598"/>
    <cellStyle name="Percent 7 15" xfId="599"/>
    <cellStyle name="Percent 7 2" xfId="600"/>
    <cellStyle name="Percent 7 2 2" xfId="601"/>
    <cellStyle name="Percent 7 3" xfId="602"/>
    <cellStyle name="Percent 7 3 2" xfId="603"/>
    <cellStyle name="Percent 7 4" xfId="604"/>
    <cellStyle name="Percent 7 4 2" xfId="605"/>
    <cellStyle name="Percent 7 5" xfId="606"/>
    <cellStyle name="Percent 7 5 2" xfId="607"/>
    <cellStyle name="Percent 7 6" xfId="608"/>
    <cellStyle name="Percent 7 6 2" xfId="609"/>
    <cellStyle name="Percent 7 7" xfId="610"/>
    <cellStyle name="Percent 7 7 2" xfId="611"/>
    <cellStyle name="Percent 7 8" xfId="612"/>
    <cellStyle name="Percent 7 8 2" xfId="613"/>
    <cellStyle name="Percent 7 9" xfId="614"/>
    <cellStyle name="Percent 7 9 2" xfId="615"/>
    <cellStyle name="Percent 8" xfId="616"/>
    <cellStyle name="Percent 8 10" xfId="617"/>
    <cellStyle name="Percent 8 10 2" xfId="618"/>
    <cellStyle name="Percent 8 11" xfId="619"/>
    <cellStyle name="Percent 8 11 2" xfId="620"/>
    <cellStyle name="Percent 8 12" xfId="621"/>
    <cellStyle name="Percent 8 12 2" xfId="622"/>
    <cellStyle name="Percent 8 13" xfId="623"/>
    <cellStyle name="Percent 8 13 2" xfId="624"/>
    <cellStyle name="Percent 8 14" xfId="625"/>
    <cellStyle name="Percent 8 14 2" xfId="626"/>
    <cellStyle name="Percent 8 15" xfId="627"/>
    <cellStyle name="Percent 8 2" xfId="628"/>
    <cellStyle name="Percent 8 2 2" xfId="629"/>
    <cellStyle name="Percent 8 3" xfId="630"/>
    <cellStyle name="Percent 8 3 2" xfId="631"/>
    <cellStyle name="Percent 8 4" xfId="632"/>
    <cellStyle name="Percent 8 4 2" xfId="633"/>
    <cellStyle name="Percent 8 5" xfId="634"/>
    <cellStyle name="Percent 8 5 2" xfId="635"/>
    <cellStyle name="Percent 8 6" xfId="636"/>
    <cellStyle name="Percent 8 6 2" xfId="637"/>
    <cellStyle name="Percent 8 7" xfId="638"/>
    <cellStyle name="Percent 8 7 2" xfId="639"/>
    <cellStyle name="Percent 8 8" xfId="640"/>
    <cellStyle name="Percent 8 8 2" xfId="641"/>
    <cellStyle name="Percent 8 9" xfId="642"/>
    <cellStyle name="Percent 8 9 2" xfId="643"/>
    <cellStyle name="Percent 9" xfId="644"/>
    <cellStyle name="Percent 9 10" xfId="645"/>
    <cellStyle name="Percent 9 10 2" xfId="646"/>
    <cellStyle name="Percent 9 11" xfId="647"/>
    <cellStyle name="Percent 9 11 2" xfId="648"/>
    <cellStyle name="Percent 9 12" xfId="649"/>
    <cellStyle name="Percent 9 12 2" xfId="650"/>
    <cellStyle name="Percent 9 13" xfId="651"/>
    <cellStyle name="Percent 9 13 2" xfId="652"/>
    <cellStyle name="Percent 9 14" xfId="653"/>
    <cellStyle name="Percent 9 14 2" xfId="654"/>
    <cellStyle name="Percent 9 15" xfId="655"/>
    <cellStyle name="Percent 9 2" xfId="656"/>
    <cellStyle name="Percent 9 2 2" xfId="657"/>
    <cellStyle name="Percent 9 3" xfId="658"/>
    <cellStyle name="Percent 9 3 2" xfId="659"/>
    <cellStyle name="Percent 9 4" xfId="660"/>
    <cellStyle name="Percent 9 4 2" xfId="661"/>
    <cellStyle name="Percent 9 5" xfId="662"/>
    <cellStyle name="Percent 9 5 2" xfId="663"/>
    <cellStyle name="Percent 9 6" xfId="664"/>
    <cellStyle name="Percent 9 6 2" xfId="665"/>
    <cellStyle name="Percent 9 7" xfId="666"/>
    <cellStyle name="Percent 9 7 2" xfId="667"/>
    <cellStyle name="Percent 9 8" xfId="668"/>
    <cellStyle name="Percent 9 8 2" xfId="669"/>
    <cellStyle name="Percent 9 9" xfId="670"/>
    <cellStyle name="Percent 9 9 2" xfId="671"/>
    <cellStyle name="Title 2" xfId="672"/>
    <cellStyle name="Total 2" xfId="673"/>
    <cellStyle name="Warning Text 2" xfId="67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rendenH\CAPEX%201112\12.%20NT-A%20Tables%20CAP%20SUBMI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Kholosa\Capex%20Budget%20201112\Capex%20201112\DRAFT%20PROJECTS%20-USING%20CURRENT%20HOUSING%20SPREADSHEET\12.%20NT-A%20Tables%20CAP%20SUBMI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pama\Local%20Settings\Temporary%20Internet%20Files\OLK5F\A1%20Schedules-Annual%20Budget(09%20March%2020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kholosan\Desktop\Emails%20-%20NT%20Schedules%20received%20from%20directorates\Consolidated%20tables\Final%20final\13.%20NT-A%20Tables%20(Dion)-Pam%20revision%20(10%20May%202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ndzondik\Desktop\Manderson%20Hotel%20-%2006%20February%202014\2013-2016%20Approved%20Capital%20Projec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Template names"/>
      <sheetName val="Lookup and lists"/>
      <sheetName val="Org structure"/>
      <sheetName val="Contacts"/>
      <sheetName val="A1-Sum"/>
      <sheetName val="A2-FinPerf SC"/>
      <sheetName val="A2A"/>
      <sheetName val="A3-FinPerf V"/>
      <sheetName val="A3A"/>
      <sheetName val="A4-FinPerf RE"/>
      <sheetName val="A5-Capex"/>
      <sheetName val="A5A"/>
      <sheetName val="A6-FinPos"/>
      <sheetName val="A7-CFlow"/>
      <sheetName val="A8-ResRecon"/>
      <sheetName val="A9-Asset"/>
      <sheetName val="A10-SerDel"/>
      <sheetName val="SA1"/>
      <sheetName val="SA2"/>
      <sheetName val="SA3"/>
      <sheetName val="SA4"/>
      <sheetName val="SA5"/>
      <sheetName val="SA6"/>
      <sheetName val="SA7"/>
      <sheetName val="SA8"/>
      <sheetName val="SA9"/>
      <sheetName val="SA10"/>
      <sheetName val="SA11"/>
      <sheetName val="SA12 &amp;13"/>
      <sheetName val="SA14"/>
      <sheetName val="SA15"/>
      <sheetName val="SA16"/>
      <sheetName val="SA17"/>
      <sheetName val="SA18"/>
      <sheetName val="SA19"/>
      <sheetName val="SA20"/>
      <sheetName val="SA21"/>
      <sheetName val="SA22"/>
      <sheetName val="SA23"/>
      <sheetName val="SA24"/>
      <sheetName val="SA25"/>
      <sheetName val="SA26"/>
      <sheetName val="SA27"/>
      <sheetName val="SA28"/>
      <sheetName val="SA29"/>
      <sheetName val="SA30"/>
      <sheetName val="SA31"/>
      <sheetName val="SA32"/>
      <sheetName val="SA33"/>
      <sheetName val="SA34a"/>
      <sheetName val="SA34b"/>
      <sheetName val="SA34c"/>
      <sheetName val="SA35"/>
      <sheetName val="SA36"/>
      <sheetName val="SA37"/>
      <sheetName val="CAPA5-Capex"/>
      <sheetName val="CAPA5A"/>
      <sheetName val="CAPA9-Asset"/>
      <sheetName val="CAPSA6"/>
      <sheetName val="CAPSA28"/>
      <sheetName val="CAPSA29"/>
      <sheetName val="CAPSA34a"/>
      <sheetName val="CAPSA34b"/>
      <sheetName val="CAPSA35"/>
      <sheetName val="CAPSA36"/>
      <sheetName val="NERF"/>
      <sheetName val="MSCOA"/>
      <sheetName val="Compliance assessment"/>
    </sheetNames>
    <sheetDataSet>
      <sheetData sheetId="0"/>
      <sheetData sheetId="1"/>
      <sheetData sheetId="2" refreshError="1">
        <row r="3">
          <cell r="B3" t="str">
            <v>2008/9</v>
          </cell>
        </row>
        <row r="4">
          <cell r="B4" t="str">
            <v>2007/8</v>
          </cell>
        </row>
        <row r="11">
          <cell r="B11" t="str">
            <v>Pre-audit outcome</v>
          </cell>
        </row>
        <row r="12">
          <cell r="B12" t="str">
            <v>Original Budget</v>
          </cell>
        </row>
        <row r="13">
          <cell r="B13" t="str">
            <v>Adjusted Budget</v>
          </cell>
        </row>
        <row r="32">
          <cell r="B32" t="str">
            <v>Vote Description</v>
          </cell>
        </row>
        <row r="104">
          <cell r="B104" t="str">
            <v>Table A5 Budgeted Capital Expenditure by vote, standard classification and funding</v>
          </cell>
        </row>
      </sheetData>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Template names"/>
      <sheetName val="Lookup and lists"/>
      <sheetName val="Org structure"/>
      <sheetName val="Contacts"/>
      <sheetName val="A1-Sum"/>
      <sheetName val="A2-FinPerf SC"/>
      <sheetName val="A2A"/>
      <sheetName val="A3-FinPerf V"/>
      <sheetName val="A3A"/>
      <sheetName val="A4-FinPerf RE"/>
      <sheetName val="A5-Capex"/>
      <sheetName val="A5A"/>
      <sheetName val="A6-FinPos"/>
      <sheetName val="A7-CFlow"/>
      <sheetName val="A8-ResRecon"/>
      <sheetName val="A9-Asset"/>
      <sheetName val="A10-SerDel"/>
      <sheetName val="SA1"/>
      <sheetName val="SA2"/>
      <sheetName val="SA3"/>
      <sheetName val="SA4"/>
      <sheetName val="SA5"/>
      <sheetName val="SA6"/>
      <sheetName val="SA7"/>
      <sheetName val="SA8"/>
      <sheetName val="SA9"/>
      <sheetName val="SA10"/>
      <sheetName val="SA11"/>
      <sheetName val="SA12 &amp;13"/>
      <sheetName val="SA14"/>
      <sheetName val="SA15"/>
      <sheetName val="SA16"/>
      <sheetName val="SA17"/>
      <sheetName val="SA18"/>
      <sheetName val="SA19"/>
      <sheetName val="SA20"/>
      <sheetName val="SA21"/>
      <sheetName val="SA22"/>
      <sheetName val="SA23"/>
      <sheetName val="SA24"/>
      <sheetName val="SA25"/>
      <sheetName val="SA26"/>
      <sheetName val="SA27"/>
      <sheetName val="SA28"/>
      <sheetName val="SA29"/>
      <sheetName val="SA30"/>
      <sheetName val="SA31"/>
      <sheetName val="SA32"/>
      <sheetName val="SA33"/>
      <sheetName val="SA34a"/>
      <sheetName val="SA34b"/>
      <sheetName val="SA34c"/>
      <sheetName val="SA35"/>
      <sheetName val="SA36"/>
      <sheetName val="SA37"/>
      <sheetName val="CAPA5-Capex"/>
      <sheetName val="CAPA5A"/>
      <sheetName val="CAPA9-Asset"/>
      <sheetName val="CAPSA6"/>
      <sheetName val="CAPSA28"/>
      <sheetName val="CAPSA29"/>
      <sheetName val="CAPSA34a"/>
      <sheetName val="CAPSA34b"/>
      <sheetName val="CAPSA35"/>
      <sheetName val="CAPSA36"/>
      <sheetName val="NERF"/>
      <sheetName val="MSCOA"/>
      <sheetName val="Compliance assessment"/>
    </sheetNames>
    <sheetDataSet>
      <sheetData sheetId="0" refreshError="1"/>
      <sheetData sheetId="1" refreshError="1"/>
      <sheetData sheetId="2" refreshError="1">
        <row r="2">
          <cell r="B2" t="str">
            <v>2009/10</v>
          </cell>
        </row>
        <row r="5">
          <cell r="B5" t="str">
            <v>Current Year 2010/11</v>
          </cell>
        </row>
        <row r="7">
          <cell r="B7" t="str">
            <v>2011/12 Medium Term Revenue &amp; Expenditure Framework</v>
          </cell>
        </row>
        <row r="9">
          <cell r="B9" t="str">
            <v>Audited Outcome</v>
          </cell>
        </row>
        <row r="14">
          <cell r="B14" t="str">
            <v>Full Year Forecast</v>
          </cell>
        </row>
        <row r="33">
          <cell r="B33" t="str">
            <v>Ref</v>
          </cell>
        </row>
        <row r="34">
          <cell r="B34" t="str">
            <v>References</v>
          </cell>
        </row>
        <row r="93">
          <cell r="B93" t="str">
            <v>EC125 Buffalo City</v>
          </cell>
        </row>
        <row r="148">
          <cell r="B148" t="str">
            <v>Supporting Table SA36 Detailed capital budget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Template names"/>
      <sheetName val="Lookup and lists"/>
      <sheetName val="Org structure"/>
      <sheetName val="Contacts"/>
      <sheetName val="A1-Sum"/>
      <sheetName val="A2-FinPerf SC"/>
      <sheetName val="A2A"/>
      <sheetName val="A3-FinPerf V"/>
      <sheetName val="A3A"/>
      <sheetName val="A4-FinPerf RE"/>
      <sheetName val="A5-Capex"/>
      <sheetName val="A5A"/>
      <sheetName val="A6-FinPos"/>
      <sheetName val="A7-CFlow"/>
      <sheetName val="A8-ResRecon"/>
      <sheetName val="A9-Asset"/>
      <sheetName val="A10-SerDel"/>
      <sheetName val="SA1"/>
      <sheetName val="SA2"/>
      <sheetName val="SA3"/>
      <sheetName val="SA4"/>
      <sheetName val="SA5"/>
      <sheetName val="SA6"/>
      <sheetName val="SA7"/>
      <sheetName val="SA8"/>
      <sheetName val="SA9"/>
      <sheetName val="SA10"/>
      <sheetName val="SA11"/>
      <sheetName val="SA12 &amp;13"/>
      <sheetName val="SA14"/>
      <sheetName val="SA15"/>
      <sheetName val="SA16"/>
      <sheetName val="SA17"/>
      <sheetName val="SA18"/>
      <sheetName val="SA19"/>
      <sheetName val="SA20"/>
      <sheetName val="SA21"/>
      <sheetName val="SA22"/>
      <sheetName val="SA23"/>
      <sheetName val="SA24"/>
      <sheetName val="SA25"/>
      <sheetName val="SA26"/>
      <sheetName val="SA27"/>
      <sheetName val="SA28"/>
      <sheetName val="SA29"/>
      <sheetName val="SA30"/>
      <sheetName val="SA31"/>
      <sheetName val="SA32"/>
      <sheetName val="SA33"/>
      <sheetName val="SA34a"/>
      <sheetName val="SA34b"/>
      <sheetName val="SA34c"/>
      <sheetName val="SA35"/>
      <sheetName val="SA36"/>
      <sheetName val="SA37"/>
      <sheetName val="NERF"/>
      <sheetName val="MSCOA"/>
      <sheetName val="Compliance assessment"/>
      <sheetName val="Sheet1"/>
    </sheetNames>
    <sheetDataSet>
      <sheetData sheetId="0" refreshError="1"/>
      <sheetData sheetId="1" refreshError="1"/>
      <sheetData sheetId="2" refreshError="1">
        <row r="15">
          <cell r="B15" t="str">
            <v>Budget Year 2011/12</v>
          </cell>
        </row>
        <row r="16">
          <cell r="B16" t="str">
            <v>Budget Year +1 2012/13</v>
          </cell>
        </row>
        <row r="17">
          <cell r="B17" t="str">
            <v>Budget Year +2 2013/14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Instructions"/>
      <sheetName val="Template names"/>
      <sheetName val="Lookup and lists"/>
      <sheetName val="Org structure"/>
      <sheetName val="Contacts"/>
      <sheetName val="A1-Sum"/>
      <sheetName val="A2-FinPerf SC"/>
      <sheetName val="A2A"/>
      <sheetName val="A3-FinPerf V"/>
      <sheetName val="A3A"/>
      <sheetName val="A4-FinPerf RE"/>
      <sheetName val="A5-Capex"/>
      <sheetName val="A5A"/>
      <sheetName val="A6-FinPos"/>
      <sheetName val="A7-CFlow"/>
      <sheetName val="A8-ResRecon"/>
      <sheetName val="A9-Asset"/>
      <sheetName val="A10-SerDel"/>
      <sheetName val="SA1"/>
      <sheetName val="SA2"/>
      <sheetName val="SA3"/>
      <sheetName val="SA4"/>
      <sheetName val="SA5"/>
      <sheetName val="SA6"/>
      <sheetName val="SA7"/>
      <sheetName val="SA8"/>
      <sheetName val="SA9"/>
      <sheetName val="SA10"/>
      <sheetName val="SA11"/>
      <sheetName val="SA12 &amp;13"/>
      <sheetName val="SA14"/>
      <sheetName val="SA15"/>
      <sheetName val="SA16"/>
      <sheetName val="SA17"/>
      <sheetName val="SA18"/>
      <sheetName val="SA19"/>
      <sheetName val="SA20"/>
      <sheetName val="SA21"/>
      <sheetName val="SA22"/>
      <sheetName val="SA23"/>
      <sheetName val="SA24"/>
      <sheetName val="SA25"/>
      <sheetName val="SA26"/>
      <sheetName val="SA27"/>
      <sheetName val="SA28"/>
      <sheetName val="SA29"/>
      <sheetName val="SA30"/>
      <sheetName val="SA31"/>
      <sheetName val="SA32"/>
      <sheetName val="SA33"/>
      <sheetName val="SA34a"/>
      <sheetName val="SA34b"/>
      <sheetName val="SA34c"/>
      <sheetName val="SA35"/>
      <sheetName val="SA36"/>
      <sheetName val="SA37"/>
      <sheetName val="NERF"/>
      <sheetName val="MSCOA"/>
      <sheetName val="Compliance assessment"/>
      <sheetName val="BCMSum"/>
      <sheetName val="BCM-Feader"/>
      <sheetName val="ElecSum"/>
      <sheetName val="WtrSum"/>
      <sheetName val="RefSum"/>
      <sheetName val="SewSum"/>
      <sheetName val="CCSum"/>
      <sheetName val="CC-Feader"/>
      <sheetName val="SCSum"/>
      <sheetName val="SC-Feader"/>
      <sheetName val="IDPSum"/>
      <sheetName val="IDP-Feader"/>
      <sheetName val="RMSum"/>
      <sheetName val="RM-Feader"/>
      <sheetName val="MunAcc"/>
      <sheetName val="ExecSum"/>
      <sheetName val="Exec-Feader"/>
      <sheetName val="MMSum"/>
      <sheetName val="MM-Feader"/>
      <sheetName val="CooSum"/>
      <sheetName val="Coo-Feeder"/>
      <sheetName val="FinSum"/>
      <sheetName val="Fin-Feeder"/>
      <sheetName val="CorpSum"/>
      <sheetName val="Corp-Feeder"/>
      <sheetName val="EngSum"/>
      <sheetName val="Eng-Feeder"/>
      <sheetName val="PedSum"/>
      <sheetName val="Ped-Feeder"/>
      <sheetName val="HpsSum"/>
      <sheetName val="Hps-Feeder"/>
      <sheetName val="CsSUM"/>
      <sheetName val="Cs-Feeder"/>
      <sheetName val="MiscSum"/>
      <sheetName val="Misc-Feeder"/>
      <sheetName val="SA25-1"/>
      <sheetName val="SA25 Feeder"/>
      <sheetName val="SA26-1"/>
      <sheetName val="SA26 Feeder"/>
      <sheetName val="SA27-1"/>
      <sheetName val="SA27 Feeder"/>
      <sheetName val="SKSA22"/>
      <sheetName val="SKSA23"/>
      <sheetName val="SKSA24"/>
    </sheetNames>
    <sheetDataSet>
      <sheetData sheetId="0"/>
      <sheetData sheetId="1"/>
      <sheetData sheetId="2" refreshError="1">
        <row r="116">
          <cell r="B116" t="str">
            <v>Supporting Table SA6 Reconciliation of IDP strategic objectives and budget (capital expenditure)</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3-2016 Projects"/>
      <sheetName val="Summaries"/>
    </sheetNames>
    <sheetDataSet>
      <sheetData sheetId="0" refreshError="1">
        <row r="6">
          <cell r="D6" t="str">
            <v>Executive and council</v>
          </cell>
          <cell r="E6" t="str">
            <v>Support Services</v>
          </cell>
          <cell r="O6" t="str">
            <v>New-270</v>
          </cell>
          <cell r="R6" t="str">
            <v>KPA5</v>
          </cell>
          <cell r="V6">
            <v>500000</v>
          </cell>
        </row>
        <row r="7">
          <cell r="D7" t="str">
            <v>Executive and council</v>
          </cell>
          <cell r="E7" t="str">
            <v>Support Services</v>
          </cell>
          <cell r="R7" t="str">
            <v>KPA5</v>
          </cell>
        </row>
        <row r="8">
          <cell r="V8">
            <v>500000</v>
          </cell>
        </row>
        <row r="11">
          <cell r="D11" t="str">
            <v>Executive and council</v>
          </cell>
          <cell r="E11" t="str">
            <v>Support Services</v>
          </cell>
          <cell r="O11" t="str">
            <v>New-270</v>
          </cell>
          <cell r="R11" t="str">
            <v>KPA5</v>
          </cell>
          <cell r="V11">
            <v>500000</v>
          </cell>
        </row>
        <row r="12">
          <cell r="D12" t="str">
            <v>Executive and council</v>
          </cell>
          <cell r="E12" t="str">
            <v>Support Services</v>
          </cell>
          <cell r="O12" t="str">
            <v>New-270</v>
          </cell>
          <cell r="R12" t="str">
            <v>KPA5</v>
          </cell>
        </row>
        <row r="13">
          <cell r="V13">
            <v>500000</v>
          </cell>
        </row>
        <row r="16">
          <cell r="D16" t="str">
            <v>Other</v>
          </cell>
          <cell r="E16" t="str">
            <v>Support Services</v>
          </cell>
          <cell r="O16" t="str">
            <v>New-270</v>
          </cell>
          <cell r="R16" t="str">
            <v>KPA5</v>
          </cell>
          <cell r="V16">
            <v>500000</v>
          </cell>
        </row>
        <row r="17">
          <cell r="D17" t="str">
            <v>Other</v>
          </cell>
          <cell r="E17" t="str">
            <v>Support Services</v>
          </cell>
          <cell r="O17" t="str">
            <v>New-270</v>
          </cell>
          <cell r="R17" t="str">
            <v>KPA2</v>
          </cell>
        </row>
        <row r="18">
          <cell r="D18" t="str">
            <v>Other</v>
          </cell>
          <cell r="E18" t="str">
            <v>Support Services</v>
          </cell>
          <cell r="O18" t="str">
            <v>New-270</v>
          </cell>
          <cell r="R18" t="str">
            <v>KPA2</v>
          </cell>
        </row>
        <row r="19">
          <cell r="D19" t="str">
            <v>Housing</v>
          </cell>
          <cell r="E19" t="str">
            <v>Housing</v>
          </cell>
          <cell r="O19" t="str">
            <v>New-80</v>
          </cell>
          <cell r="R19" t="str">
            <v>KPA2</v>
          </cell>
        </row>
        <row r="20">
          <cell r="D20" t="str">
            <v>Housing</v>
          </cell>
          <cell r="E20" t="str">
            <v>Housing</v>
          </cell>
          <cell r="O20" t="str">
            <v>New-80</v>
          </cell>
          <cell r="R20" t="str">
            <v>KPA2</v>
          </cell>
        </row>
        <row r="21">
          <cell r="D21" t="str">
            <v>Housing</v>
          </cell>
          <cell r="E21" t="str">
            <v>Housing</v>
          </cell>
          <cell r="O21" t="str">
            <v>New-80</v>
          </cell>
          <cell r="R21" t="str">
            <v>KPA2</v>
          </cell>
        </row>
        <row r="22">
          <cell r="D22" t="str">
            <v>Housing</v>
          </cell>
          <cell r="E22" t="str">
            <v>Housing</v>
          </cell>
          <cell r="O22" t="str">
            <v>New-80</v>
          </cell>
          <cell r="R22" t="str">
            <v>KPA2</v>
          </cell>
        </row>
        <row r="23">
          <cell r="D23" t="str">
            <v>Housing</v>
          </cell>
          <cell r="E23" t="str">
            <v>Housing</v>
          </cell>
          <cell r="O23" t="str">
            <v>New-80</v>
          </cell>
          <cell r="R23" t="str">
            <v>KPA2</v>
          </cell>
        </row>
        <row r="24">
          <cell r="D24" t="str">
            <v>Housing</v>
          </cell>
          <cell r="E24" t="str">
            <v>Housing</v>
          </cell>
          <cell r="O24" t="str">
            <v>New-80</v>
          </cell>
          <cell r="R24" t="str">
            <v>KPA2</v>
          </cell>
        </row>
        <row r="25">
          <cell r="D25" t="str">
            <v>Housing</v>
          </cell>
          <cell r="E25" t="str">
            <v>Housing</v>
          </cell>
          <cell r="O25" t="str">
            <v>New-80</v>
          </cell>
          <cell r="R25" t="str">
            <v>KPA2</v>
          </cell>
        </row>
        <row r="26">
          <cell r="D26" t="str">
            <v>Housing</v>
          </cell>
          <cell r="E26" t="str">
            <v>Housing</v>
          </cell>
          <cell r="O26" t="str">
            <v>New-80</v>
          </cell>
          <cell r="R26" t="str">
            <v>KPA2</v>
          </cell>
        </row>
        <row r="27">
          <cell r="D27" t="str">
            <v>Housing</v>
          </cell>
          <cell r="E27" t="str">
            <v>Housing</v>
          </cell>
          <cell r="O27" t="str">
            <v>New-80</v>
          </cell>
          <cell r="R27" t="str">
            <v>KPA2</v>
          </cell>
        </row>
        <row r="28">
          <cell r="D28" t="str">
            <v>Housing</v>
          </cell>
          <cell r="E28" t="str">
            <v>Housing</v>
          </cell>
          <cell r="O28" t="str">
            <v>New-80</v>
          </cell>
          <cell r="R28" t="str">
            <v>KPA2</v>
          </cell>
        </row>
        <row r="29">
          <cell r="D29" t="str">
            <v>Housing</v>
          </cell>
          <cell r="E29" t="str">
            <v>Housing</v>
          </cell>
          <cell r="O29" t="str">
            <v>New-80</v>
          </cell>
          <cell r="R29" t="str">
            <v>KPA2</v>
          </cell>
        </row>
        <row r="30">
          <cell r="D30" t="str">
            <v>Housing</v>
          </cell>
          <cell r="E30" t="str">
            <v>Housing</v>
          </cell>
          <cell r="O30" t="str">
            <v>New-80</v>
          </cell>
          <cell r="R30" t="str">
            <v>KPA2</v>
          </cell>
        </row>
        <row r="31">
          <cell r="D31" t="str">
            <v>Housing</v>
          </cell>
          <cell r="E31" t="str">
            <v>Housing</v>
          </cell>
          <cell r="O31" t="str">
            <v>New-80</v>
          </cell>
          <cell r="R31" t="str">
            <v>KPA2</v>
          </cell>
        </row>
        <row r="32">
          <cell r="D32" t="str">
            <v>Housing</v>
          </cell>
          <cell r="E32" t="str">
            <v>Housing</v>
          </cell>
          <cell r="O32" t="str">
            <v>New-80</v>
          </cell>
          <cell r="R32" t="str">
            <v>KPA2</v>
          </cell>
        </row>
        <row r="33">
          <cell r="D33" t="str">
            <v>Housing</v>
          </cell>
          <cell r="E33" t="str">
            <v>Housing</v>
          </cell>
          <cell r="O33" t="str">
            <v>New-80</v>
          </cell>
          <cell r="R33" t="str">
            <v>KPA2</v>
          </cell>
        </row>
        <row r="34">
          <cell r="D34" t="str">
            <v>Housing</v>
          </cell>
          <cell r="E34" t="str">
            <v>Housing</v>
          </cell>
          <cell r="O34" t="str">
            <v>New-80</v>
          </cell>
          <cell r="R34" t="str">
            <v>KPA2</v>
          </cell>
        </row>
        <row r="35">
          <cell r="D35" t="str">
            <v>Housing</v>
          </cell>
          <cell r="E35" t="str">
            <v>Housing</v>
          </cell>
          <cell r="O35" t="str">
            <v>New-80</v>
          </cell>
          <cell r="R35" t="str">
            <v>KPA2</v>
          </cell>
        </row>
        <row r="36">
          <cell r="D36" t="str">
            <v>Housing</v>
          </cell>
          <cell r="E36" t="str">
            <v>Housing</v>
          </cell>
          <cell r="O36" t="str">
            <v>New-80</v>
          </cell>
          <cell r="R36" t="str">
            <v>KPA2</v>
          </cell>
        </row>
        <row r="37">
          <cell r="D37" t="str">
            <v>Housing</v>
          </cell>
          <cell r="E37" t="str">
            <v>Housing</v>
          </cell>
          <cell r="O37" t="str">
            <v>New-80</v>
          </cell>
          <cell r="R37" t="str">
            <v>KPA2</v>
          </cell>
        </row>
        <row r="38">
          <cell r="D38" t="str">
            <v>Housing</v>
          </cell>
          <cell r="E38" t="str">
            <v>Housing</v>
          </cell>
          <cell r="O38" t="str">
            <v>New-80</v>
          </cell>
          <cell r="R38" t="str">
            <v>KPA2</v>
          </cell>
        </row>
        <row r="39">
          <cell r="D39" t="str">
            <v>Housing</v>
          </cell>
          <cell r="E39" t="str">
            <v>Housing</v>
          </cell>
          <cell r="O39" t="str">
            <v>New-80</v>
          </cell>
          <cell r="R39" t="str">
            <v>KPA2</v>
          </cell>
        </row>
        <row r="40">
          <cell r="D40" t="str">
            <v>Housing</v>
          </cell>
          <cell r="E40" t="str">
            <v>Housing</v>
          </cell>
          <cell r="O40" t="str">
            <v>New-80</v>
          </cell>
          <cell r="R40" t="str">
            <v>KPA2</v>
          </cell>
        </row>
        <row r="41">
          <cell r="D41" t="str">
            <v>Housing</v>
          </cell>
          <cell r="E41" t="str">
            <v>Housing</v>
          </cell>
          <cell r="O41" t="str">
            <v>New-80</v>
          </cell>
          <cell r="R41" t="str">
            <v>KPA2</v>
          </cell>
        </row>
        <row r="42">
          <cell r="D42" t="str">
            <v>Housing</v>
          </cell>
          <cell r="E42" t="str">
            <v>Housing</v>
          </cell>
          <cell r="O42" t="str">
            <v>New-80</v>
          </cell>
          <cell r="R42" t="str">
            <v>KPA2</v>
          </cell>
        </row>
        <row r="43">
          <cell r="D43" t="str">
            <v>Housing</v>
          </cell>
          <cell r="E43" t="str">
            <v>Housing</v>
          </cell>
          <cell r="O43" t="str">
            <v>New-80</v>
          </cell>
          <cell r="R43" t="str">
            <v>KPA2</v>
          </cell>
        </row>
        <row r="44">
          <cell r="D44" t="str">
            <v>Housing</v>
          </cell>
          <cell r="E44" t="str">
            <v>Housing</v>
          </cell>
          <cell r="O44" t="str">
            <v>New-80</v>
          </cell>
          <cell r="R44" t="str">
            <v>KPA2</v>
          </cell>
        </row>
        <row r="45">
          <cell r="D45" t="str">
            <v>Housing</v>
          </cell>
          <cell r="E45" t="str">
            <v>Housing</v>
          </cell>
          <cell r="O45" t="str">
            <v>New-80</v>
          </cell>
          <cell r="R45" t="str">
            <v>KPA2</v>
          </cell>
        </row>
        <row r="46">
          <cell r="D46" t="str">
            <v>Housing</v>
          </cell>
          <cell r="E46" t="str">
            <v>Housing</v>
          </cell>
          <cell r="O46" t="str">
            <v>New-80</v>
          </cell>
          <cell r="R46" t="str">
            <v>KPA2</v>
          </cell>
        </row>
        <row r="47">
          <cell r="D47" t="str">
            <v>Housing</v>
          </cell>
          <cell r="E47" t="str">
            <v>Housing</v>
          </cell>
          <cell r="O47" t="str">
            <v>New-80</v>
          </cell>
          <cell r="R47" t="str">
            <v>KPA2</v>
          </cell>
        </row>
        <row r="48">
          <cell r="D48" t="str">
            <v>Housing</v>
          </cell>
          <cell r="E48" t="str">
            <v>Housing</v>
          </cell>
          <cell r="O48" t="str">
            <v>New-80</v>
          </cell>
          <cell r="R48" t="str">
            <v>KPA2</v>
          </cell>
        </row>
        <row r="49">
          <cell r="D49" t="str">
            <v>Housing</v>
          </cell>
          <cell r="E49" t="str">
            <v>Housing</v>
          </cell>
          <cell r="O49" t="str">
            <v>New-80</v>
          </cell>
          <cell r="R49" t="str">
            <v>KPA2</v>
          </cell>
        </row>
        <row r="50">
          <cell r="D50" t="str">
            <v>Housing</v>
          </cell>
          <cell r="E50" t="str">
            <v>Housing</v>
          </cell>
          <cell r="O50" t="str">
            <v>New-80</v>
          </cell>
          <cell r="R50" t="str">
            <v>KPA2</v>
          </cell>
        </row>
        <row r="51">
          <cell r="D51" t="str">
            <v>Housing</v>
          </cell>
          <cell r="E51" t="str">
            <v>Housing</v>
          </cell>
          <cell r="O51" t="str">
            <v>New-80</v>
          </cell>
          <cell r="R51" t="str">
            <v>KPA2</v>
          </cell>
        </row>
        <row r="52">
          <cell r="V52">
            <v>500000</v>
          </cell>
        </row>
        <row r="54">
          <cell r="V54">
            <v>500000</v>
          </cell>
        </row>
        <row r="57">
          <cell r="D57" t="str">
            <v>Budget and treasury office</v>
          </cell>
          <cell r="E57" t="str">
            <v>Support Services</v>
          </cell>
          <cell r="O57" t="str">
            <v>New-270</v>
          </cell>
          <cell r="R57" t="str">
            <v>KPA5</v>
          </cell>
          <cell r="V57">
            <v>500000</v>
          </cell>
        </row>
        <row r="58">
          <cell r="V58">
            <v>500000</v>
          </cell>
        </row>
        <row r="62">
          <cell r="D62" t="str">
            <v>Corporate Services</v>
          </cell>
          <cell r="E62" t="str">
            <v>Support Services</v>
          </cell>
          <cell r="O62" t="str">
            <v>New-270</v>
          </cell>
          <cell r="R62" t="str">
            <v>KPA5</v>
          </cell>
          <cell r="V62">
            <v>500000</v>
          </cell>
        </row>
        <row r="63">
          <cell r="D63" t="str">
            <v>Corporate Services</v>
          </cell>
          <cell r="E63" t="str">
            <v>Support Services</v>
          </cell>
          <cell r="O63" t="str">
            <v>New-270</v>
          </cell>
          <cell r="R63" t="str">
            <v>KPA1</v>
          </cell>
        </row>
        <row r="64">
          <cell r="D64" t="str">
            <v>Corporate Services</v>
          </cell>
          <cell r="E64" t="str">
            <v>Support Services</v>
          </cell>
          <cell r="O64" t="str">
            <v>New-270</v>
          </cell>
          <cell r="R64" t="str">
            <v>KPA1</v>
          </cell>
        </row>
        <row r="65">
          <cell r="D65" t="str">
            <v>Corporate Services</v>
          </cell>
          <cell r="E65" t="str">
            <v>Support Services</v>
          </cell>
          <cell r="O65" t="str">
            <v>New-270</v>
          </cell>
          <cell r="R65" t="str">
            <v>KPA1</v>
          </cell>
        </row>
        <row r="66">
          <cell r="D66" t="str">
            <v>Corporate Services</v>
          </cell>
          <cell r="E66" t="str">
            <v>Support Services</v>
          </cell>
          <cell r="O66" t="str">
            <v>New-270</v>
          </cell>
          <cell r="R66" t="str">
            <v>KPA1</v>
          </cell>
        </row>
        <row r="67">
          <cell r="D67" t="str">
            <v>Corporate Services</v>
          </cell>
          <cell r="E67" t="str">
            <v>Support Services</v>
          </cell>
          <cell r="O67" t="str">
            <v>New-270</v>
          </cell>
          <cell r="R67" t="str">
            <v>KPA1</v>
          </cell>
        </row>
        <row r="68">
          <cell r="D68" t="str">
            <v>Corporate Services</v>
          </cell>
          <cell r="E68" t="str">
            <v>Support Services</v>
          </cell>
          <cell r="O68" t="str">
            <v>New-270</v>
          </cell>
          <cell r="R68" t="str">
            <v>KPA1</v>
          </cell>
        </row>
        <row r="69">
          <cell r="D69" t="str">
            <v>Corporate Services</v>
          </cell>
          <cell r="E69" t="str">
            <v>Support Services</v>
          </cell>
          <cell r="O69" t="str">
            <v>New-270</v>
          </cell>
          <cell r="R69" t="str">
            <v>KPA1</v>
          </cell>
        </row>
        <row r="70">
          <cell r="D70" t="str">
            <v>Corporate Services</v>
          </cell>
          <cell r="E70" t="str">
            <v>Support Services</v>
          </cell>
          <cell r="O70" t="str">
            <v>New-270</v>
          </cell>
          <cell r="R70" t="str">
            <v>KPA1</v>
          </cell>
        </row>
        <row r="71">
          <cell r="D71" t="str">
            <v>Corporate Services</v>
          </cell>
          <cell r="E71" t="str">
            <v>Support Services</v>
          </cell>
          <cell r="O71" t="str">
            <v>Renewal-312</v>
          </cell>
          <cell r="R71" t="str">
            <v>KPA1</v>
          </cell>
        </row>
        <row r="72">
          <cell r="D72" t="str">
            <v>Corporate Services</v>
          </cell>
          <cell r="E72" t="str">
            <v>Support Services</v>
          </cell>
          <cell r="O72" t="str">
            <v>New-270</v>
          </cell>
          <cell r="R72" t="str">
            <v>KPA1</v>
          </cell>
        </row>
        <row r="73">
          <cell r="V73">
            <v>500000</v>
          </cell>
        </row>
        <row r="77">
          <cell r="D77" t="str">
            <v>Waste water Management</v>
          </cell>
          <cell r="E77" t="str">
            <v>Waste Water</v>
          </cell>
          <cell r="O77" t="str">
            <v>New-270</v>
          </cell>
          <cell r="R77" t="str">
            <v>KPA5</v>
          </cell>
          <cell r="V77">
            <v>500000</v>
          </cell>
        </row>
        <row r="78">
          <cell r="D78" t="str">
            <v>Water</v>
          </cell>
          <cell r="E78" t="str">
            <v>Roads</v>
          </cell>
          <cell r="O78" t="str">
            <v>Renewal-40</v>
          </cell>
          <cell r="R78" t="str">
            <v>KPA2</v>
          </cell>
        </row>
        <row r="79">
          <cell r="D79" t="str">
            <v>Road transport</v>
          </cell>
          <cell r="E79" t="str">
            <v>Roads</v>
          </cell>
          <cell r="O79" t="str">
            <v>New-30</v>
          </cell>
          <cell r="R79" t="str">
            <v>KPA2</v>
          </cell>
        </row>
        <row r="80">
          <cell r="D80" t="str">
            <v>Road transport</v>
          </cell>
          <cell r="E80" t="str">
            <v>Roads</v>
          </cell>
          <cell r="O80" t="str">
            <v>New-30</v>
          </cell>
          <cell r="R80" t="str">
            <v>KPA2</v>
          </cell>
        </row>
        <row r="81">
          <cell r="D81" t="str">
            <v>Road transport</v>
          </cell>
          <cell r="E81" t="str">
            <v>Roads</v>
          </cell>
          <cell r="O81" t="str">
            <v>New-30</v>
          </cell>
          <cell r="R81" t="str">
            <v>KPA2</v>
          </cell>
        </row>
        <row r="82">
          <cell r="D82" t="str">
            <v>Road transport</v>
          </cell>
          <cell r="E82" t="str">
            <v>Roads</v>
          </cell>
          <cell r="O82" t="str">
            <v>New-30</v>
          </cell>
          <cell r="R82" t="str">
            <v>KPA2</v>
          </cell>
        </row>
        <row r="83">
          <cell r="D83" t="str">
            <v>Other</v>
          </cell>
          <cell r="E83" t="str">
            <v>Other</v>
          </cell>
          <cell r="O83" t="str">
            <v>New-270</v>
          </cell>
          <cell r="R83" t="str">
            <v>KPA2</v>
          </cell>
        </row>
        <row r="84">
          <cell r="D84" t="str">
            <v>Other</v>
          </cell>
          <cell r="E84" t="str">
            <v>Other</v>
          </cell>
          <cell r="O84" t="str">
            <v>New-250</v>
          </cell>
          <cell r="R84" t="str">
            <v>KPA2</v>
          </cell>
        </row>
        <row r="85">
          <cell r="D85" t="str">
            <v>Other</v>
          </cell>
          <cell r="E85" t="str">
            <v>Other</v>
          </cell>
          <cell r="O85" t="str">
            <v>New-250</v>
          </cell>
          <cell r="R85" t="str">
            <v>KPA2</v>
          </cell>
        </row>
        <row r="86">
          <cell r="D86" t="str">
            <v>Other</v>
          </cell>
          <cell r="E86" t="str">
            <v>Other</v>
          </cell>
          <cell r="O86" t="str">
            <v>New-250</v>
          </cell>
          <cell r="R86" t="str">
            <v>KPA2</v>
          </cell>
        </row>
        <row r="87">
          <cell r="D87" t="str">
            <v>Electricity</v>
          </cell>
          <cell r="E87" t="str">
            <v>Electricity</v>
          </cell>
          <cell r="O87" t="str">
            <v>New-60</v>
          </cell>
          <cell r="R87" t="str">
            <v>KPA2</v>
          </cell>
        </row>
        <row r="88">
          <cell r="D88" t="str">
            <v>Electricity</v>
          </cell>
          <cell r="E88" t="str">
            <v>Electricity</v>
          </cell>
          <cell r="O88" t="str">
            <v>New-60</v>
          </cell>
          <cell r="R88" t="str">
            <v>KPA2</v>
          </cell>
        </row>
        <row r="89">
          <cell r="D89" t="str">
            <v>Electricity</v>
          </cell>
          <cell r="E89" t="str">
            <v>Electricity</v>
          </cell>
          <cell r="O89" t="str">
            <v>New-60</v>
          </cell>
          <cell r="R89" t="str">
            <v>KPA2</v>
          </cell>
        </row>
        <row r="90">
          <cell r="D90" t="str">
            <v>Electricity</v>
          </cell>
          <cell r="E90" t="str">
            <v>Electricity</v>
          </cell>
          <cell r="O90" t="str">
            <v>New-60</v>
          </cell>
          <cell r="R90" t="str">
            <v>KPA2</v>
          </cell>
        </row>
        <row r="91">
          <cell r="D91" t="str">
            <v>Electricity</v>
          </cell>
          <cell r="E91" t="str">
            <v>Electricity</v>
          </cell>
          <cell r="O91" t="str">
            <v>New-60</v>
          </cell>
          <cell r="R91" t="str">
            <v>KPA2</v>
          </cell>
        </row>
        <row r="92">
          <cell r="D92" t="str">
            <v>Electricity</v>
          </cell>
          <cell r="E92" t="str">
            <v>Electricity</v>
          </cell>
          <cell r="O92" t="str">
            <v>New-60</v>
          </cell>
          <cell r="R92" t="str">
            <v>KPA2</v>
          </cell>
        </row>
        <row r="93">
          <cell r="V93">
            <v>500000</v>
          </cell>
        </row>
        <row r="95">
          <cell r="V95">
            <v>500000</v>
          </cell>
        </row>
        <row r="98">
          <cell r="D98" t="str">
            <v>Planning and Development</v>
          </cell>
          <cell r="E98" t="str">
            <v>Planning and development</v>
          </cell>
          <cell r="O98" t="str">
            <v>New-270</v>
          </cell>
          <cell r="R98" t="str">
            <v>KPA5</v>
          </cell>
          <cell r="V98">
            <v>500000</v>
          </cell>
        </row>
        <row r="99">
          <cell r="D99" t="str">
            <v>Planning and Development</v>
          </cell>
          <cell r="E99" t="str">
            <v>Planning and development</v>
          </cell>
          <cell r="O99" t="str">
            <v>Renewal-312</v>
          </cell>
          <cell r="R99" t="str">
            <v>KPA2</v>
          </cell>
        </row>
        <row r="100">
          <cell r="D100" t="str">
            <v>Executive and Council</v>
          </cell>
          <cell r="E100" t="str">
            <v>Support Services</v>
          </cell>
          <cell r="O100" t="str">
            <v>Renewal-312</v>
          </cell>
          <cell r="R100" t="str">
            <v>KPA2</v>
          </cell>
        </row>
        <row r="101">
          <cell r="D101" t="str">
            <v>Planning and Development</v>
          </cell>
          <cell r="E101" t="str">
            <v>Planning and development</v>
          </cell>
          <cell r="O101" t="str">
            <v>New-312</v>
          </cell>
          <cell r="R101" t="str">
            <v>KPA2</v>
          </cell>
        </row>
        <row r="102">
          <cell r="D102" t="str">
            <v>Planning and development</v>
          </cell>
          <cell r="E102" t="str">
            <v>Planning and development</v>
          </cell>
          <cell r="O102" t="str">
            <v>New-50</v>
          </cell>
          <cell r="R102" t="str">
            <v>KPA2</v>
          </cell>
        </row>
        <row r="103">
          <cell r="D103" t="str">
            <v>Planning and development</v>
          </cell>
          <cell r="E103" t="str">
            <v>Planning and development</v>
          </cell>
          <cell r="O103" t="str">
            <v>New-50</v>
          </cell>
          <cell r="R103" t="str">
            <v>KPA2</v>
          </cell>
        </row>
        <row r="104">
          <cell r="D104" t="str">
            <v>Planning and Development</v>
          </cell>
          <cell r="E104" t="str">
            <v>Planning and development</v>
          </cell>
          <cell r="O104" t="str">
            <v>New-50</v>
          </cell>
          <cell r="R104" t="str">
            <v>KPA2</v>
          </cell>
        </row>
        <row r="105">
          <cell r="D105" t="str">
            <v>Planning and Development</v>
          </cell>
          <cell r="E105" t="str">
            <v>Planning and development</v>
          </cell>
          <cell r="O105" t="str">
            <v>New-50</v>
          </cell>
          <cell r="R105" t="str">
            <v>KPA2</v>
          </cell>
        </row>
        <row r="106">
          <cell r="D106" t="str">
            <v>Planning and Development</v>
          </cell>
          <cell r="E106" t="str">
            <v>Planning and development</v>
          </cell>
          <cell r="O106" t="str">
            <v>New-50</v>
          </cell>
          <cell r="R106" t="str">
            <v>KPA2</v>
          </cell>
        </row>
        <row r="107">
          <cell r="D107" t="str">
            <v>Planning and Development</v>
          </cell>
          <cell r="E107" t="str">
            <v>Planning and development</v>
          </cell>
          <cell r="O107" t="str">
            <v>New-50</v>
          </cell>
          <cell r="R107" t="str">
            <v>KPA2</v>
          </cell>
        </row>
        <row r="108">
          <cell r="D108" t="str">
            <v>Planning and Development</v>
          </cell>
          <cell r="E108" t="str">
            <v>Planning and development</v>
          </cell>
          <cell r="O108" t="str">
            <v>New-50</v>
          </cell>
          <cell r="R108" t="str">
            <v>KPA2</v>
          </cell>
        </row>
        <row r="109">
          <cell r="D109" t="str">
            <v>Planning and Development</v>
          </cell>
          <cell r="E109" t="str">
            <v>Planning and development</v>
          </cell>
          <cell r="O109" t="str">
            <v>New-50</v>
          </cell>
          <cell r="R109" t="str">
            <v>KPA2</v>
          </cell>
        </row>
        <row r="110">
          <cell r="D110" t="str">
            <v>Planning and Development</v>
          </cell>
          <cell r="E110" t="str">
            <v>Planning and development</v>
          </cell>
          <cell r="O110" t="str">
            <v>New-250</v>
          </cell>
          <cell r="R110" t="str">
            <v>KPA2</v>
          </cell>
        </row>
        <row r="111">
          <cell r="V111">
            <v>500000</v>
          </cell>
        </row>
        <row r="114">
          <cell r="D114" t="str">
            <v>Public safety</v>
          </cell>
          <cell r="E114" t="str">
            <v>Public safety</v>
          </cell>
          <cell r="O114" t="str">
            <v>New-270</v>
          </cell>
          <cell r="R114" t="str">
            <v>KPA5</v>
          </cell>
          <cell r="V114">
            <v>500000</v>
          </cell>
        </row>
        <row r="115">
          <cell r="D115" t="str">
            <v>Public safety</v>
          </cell>
          <cell r="E115" t="str">
            <v>Public safety</v>
          </cell>
          <cell r="O115" t="str">
            <v>New-312</v>
          </cell>
          <cell r="R115" t="str">
            <v>KPA2</v>
          </cell>
        </row>
        <row r="116">
          <cell r="D116" t="str">
            <v>Public safety</v>
          </cell>
          <cell r="E116" t="str">
            <v>Public safety</v>
          </cell>
          <cell r="O116" t="str">
            <v>New-250</v>
          </cell>
          <cell r="R116" t="str">
            <v>KPA2</v>
          </cell>
        </row>
        <row r="117">
          <cell r="D117" t="str">
            <v>Public safety</v>
          </cell>
          <cell r="E117" t="str">
            <v>Public safety</v>
          </cell>
          <cell r="O117" t="str">
            <v>New-220</v>
          </cell>
          <cell r="R117" t="str">
            <v>KPA2</v>
          </cell>
        </row>
        <row r="118">
          <cell r="D118" t="str">
            <v>Public safety</v>
          </cell>
          <cell r="E118" t="str">
            <v>Public safety</v>
          </cell>
          <cell r="O118" t="str">
            <v>New-250</v>
          </cell>
          <cell r="R118" t="str">
            <v>KPA2</v>
          </cell>
        </row>
        <row r="119">
          <cell r="V119">
            <v>500000</v>
          </cell>
        </row>
        <row r="121">
          <cell r="V121">
            <v>500000</v>
          </cell>
        </row>
        <row r="124">
          <cell r="D124" t="str">
            <v>Community and social services</v>
          </cell>
          <cell r="E124" t="str">
            <v>Amenities</v>
          </cell>
          <cell r="O124" t="str">
            <v>New-270</v>
          </cell>
          <cell r="R124" t="str">
            <v>KPA5</v>
          </cell>
          <cell r="V124">
            <v>500000</v>
          </cell>
        </row>
        <row r="125">
          <cell r="D125" t="str">
            <v>Environmental Protection</v>
          </cell>
          <cell r="E125" t="str">
            <v>Environmental Services</v>
          </cell>
          <cell r="O125" t="str">
            <v>New-220</v>
          </cell>
          <cell r="R125" t="str">
            <v>KPA2</v>
          </cell>
        </row>
        <row r="126">
          <cell r="D126" t="str">
            <v>Community and social services</v>
          </cell>
          <cell r="E126" t="str">
            <v>Amenities</v>
          </cell>
          <cell r="O126" t="str">
            <v>New-170</v>
          </cell>
          <cell r="R126" t="str">
            <v>KPA2</v>
          </cell>
        </row>
        <row r="127">
          <cell r="D127" t="str">
            <v>Community and social services</v>
          </cell>
          <cell r="E127" t="str">
            <v>Amenities</v>
          </cell>
          <cell r="O127" t="str">
            <v>Renewal-160</v>
          </cell>
          <cell r="R127" t="str">
            <v>KPA2</v>
          </cell>
        </row>
        <row r="128">
          <cell r="D128" t="str">
            <v>Community and social services</v>
          </cell>
          <cell r="E128" t="str">
            <v>Amenities</v>
          </cell>
          <cell r="O128" t="str">
            <v>Renewal-160</v>
          </cell>
          <cell r="R128" t="str">
            <v>KPA2</v>
          </cell>
        </row>
        <row r="129">
          <cell r="D129" t="str">
            <v>Community and social services</v>
          </cell>
          <cell r="E129" t="str">
            <v>Cleansing</v>
          </cell>
          <cell r="O129" t="str">
            <v>New-100</v>
          </cell>
          <cell r="R129" t="str">
            <v>KPA2</v>
          </cell>
        </row>
        <row r="130">
          <cell r="D130" t="str">
            <v>Community and social services</v>
          </cell>
          <cell r="E130" t="str">
            <v>Cleansing</v>
          </cell>
          <cell r="O130" t="str">
            <v>New-100</v>
          </cell>
          <cell r="R130" t="str">
            <v>KPA2</v>
          </cell>
        </row>
        <row r="131">
          <cell r="D131" t="str">
            <v>Community and social services</v>
          </cell>
          <cell r="E131" t="str">
            <v>Cleansing</v>
          </cell>
          <cell r="O131" t="str">
            <v>New-100</v>
          </cell>
          <cell r="R131" t="str">
            <v>KPA2</v>
          </cell>
        </row>
        <row r="132">
          <cell r="V132">
            <v>500000</v>
          </cell>
        </row>
        <row r="134">
          <cell r="V134">
            <v>4500000</v>
          </cell>
        </row>
        <row r="136">
          <cell r="V136">
            <v>754958421</v>
          </cell>
        </row>
        <row r="137">
          <cell r="V137">
            <v>-1903000</v>
          </cell>
        </row>
        <row r="138">
          <cell r="V138">
            <v>-9321114</v>
          </cell>
        </row>
        <row r="139">
          <cell r="V139">
            <v>1500000</v>
          </cell>
        </row>
        <row r="140">
          <cell r="V140">
            <v>50000</v>
          </cell>
        </row>
        <row r="141">
          <cell r="V141">
            <v>3000000</v>
          </cell>
        </row>
        <row r="142">
          <cell r="V142">
            <v>748284307</v>
          </cell>
        </row>
        <row r="144">
          <cell r="V144">
            <v>-743784307</v>
          </cell>
        </row>
      </sheetData>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A308"/>
  <sheetViews>
    <sheetView tabSelected="1" view="pageBreakPreview" zoomScale="55" zoomScaleNormal="62" zoomScaleSheetLayoutView="55" workbookViewId="0">
      <pane ySplit="5" topLeftCell="A6" activePane="bottomLeft" state="frozen"/>
      <selection pane="bottomLeft" activeCell="CE5" sqref="CE5"/>
    </sheetView>
  </sheetViews>
  <sheetFormatPr defaultColWidth="9.7109375" defaultRowHeight="15.75" x14ac:dyDescent="0.25"/>
  <cols>
    <col min="1" max="1" width="58.5703125" style="99" hidden="1" customWidth="1"/>
    <col min="2" max="2" width="55.85546875" style="99" hidden="1" customWidth="1"/>
    <col min="3" max="3" width="62.42578125" style="99" hidden="1" customWidth="1"/>
    <col min="4" max="4" width="37.140625" style="99" hidden="1" customWidth="1"/>
    <col min="5" max="5" width="11.28515625" style="100" hidden="1" customWidth="1"/>
    <col min="6" max="6" width="2.5703125" style="100" hidden="1" customWidth="1"/>
    <col min="7" max="7" width="3.85546875" style="100" hidden="1" customWidth="1"/>
    <col min="8" max="8" width="6.42578125" style="100" hidden="1" customWidth="1"/>
    <col min="9" max="9" width="33.140625" style="99" hidden="1" customWidth="1"/>
    <col min="10" max="10" width="28.42578125" style="99" hidden="1" customWidth="1"/>
    <col min="11" max="12" width="10.7109375" style="100" hidden="1" customWidth="1"/>
    <col min="13" max="13" width="10.7109375" style="352" hidden="1" customWidth="1"/>
    <col min="14" max="19" width="11" style="100" hidden="1" customWidth="1"/>
    <col min="20" max="20" width="15" style="99" hidden="1" customWidth="1"/>
    <col min="21" max="21" width="17.140625" style="99" hidden="1" customWidth="1"/>
    <col min="22" max="22" width="14.28515625" style="99" hidden="1" customWidth="1"/>
    <col min="23" max="23" width="28.28515625" style="1" hidden="1" customWidth="1"/>
    <col min="24" max="24" width="40.5703125" style="1" hidden="1" customWidth="1"/>
    <col min="25" max="25" width="14.42578125" style="90" hidden="1" customWidth="1"/>
    <col min="26" max="26" width="87.7109375" style="90" hidden="1" customWidth="1"/>
    <col min="27" max="27" width="60.28515625" style="101" customWidth="1"/>
    <col min="28" max="28" width="21.140625" style="99" customWidth="1"/>
    <col min="29" max="29" width="39.5703125" style="102" hidden="1" customWidth="1"/>
    <col min="30" max="30" width="21.42578125" style="102" hidden="1" customWidth="1"/>
    <col min="31" max="31" width="52.140625" style="103" hidden="1" customWidth="1"/>
    <col min="32" max="32" width="22.85546875" style="103" hidden="1" customWidth="1"/>
    <col min="33" max="33" width="48.5703125" style="103" hidden="1" customWidth="1"/>
    <col min="34" max="34" width="34" style="103" hidden="1" customWidth="1"/>
    <col min="35" max="35" width="49.7109375" style="103" hidden="1" customWidth="1"/>
    <col min="36" max="36" width="16.7109375" style="248" hidden="1" customWidth="1"/>
    <col min="37" max="37" width="21" style="105" hidden="1" customWidth="1"/>
    <col min="38" max="38" width="10" style="105" hidden="1" customWidth="1"/>
    <col min="39" max="39" width="19.7109375" style="105" customWidth="1"/>
    <col min="40" max="40" width="17.85546875" style="105" hidden="1" customWidth="1"/>
    <col min="41" max="41" width="11.5703125" style="105" hidden="1" customWidth="1"/>
    <col min="42" max="42" width="30" style="105" hidden="1" customWidth="1"/>
    <col min="43" max="43" width="21.7109375" style="105" hidden="1" customWidth="1"/>
    <col min="44" max="44" width="11.5703125" style="105" hidden="1" customWidth="1"/>
    <col min="45" max="45" width="33.85546875" style="105" hidden="1" customWidth="1"/>
    <col min="46" max="46" width="26.42578125" style="105" hidden="1" customWidth="1"/>
    <col min="47" max="47" width="11.5703125" style="105" hidden="1" customWidth="1"/>
    <col min="48" max="48" width="32.85546875" style="105" hidden="1" customWidth="1"/>
    <col min="49" max="49" width="22.5703125" style="105" hidden="1" customWidth="1"/>
    <col min="50" max="50" width="16.28515625" style="105" hidden="1" customWidth="1"/>
    <col min="51" max="51" width="19.140625" style="105" hidden="1" customWidth="1"/>
    <col min="52" max="52" width="25.42578125" style="105" hidden="1" customWidth="1"/>
    <col min="53" max="53" width="11.5703125" style="105" hidden="1" customWidth="1"/>
    <col min="54" max="54" width="37.42578125" style="105" hidden="1" customWidth="1"/>
    <col min="55" max="55" width="25.42578125" style="105" hidden="1" customWidth="1"/>
    <col min="56" max="56" width="11.5703125" style="105" hidden="1" customWidth="1"/>
    <col min="57" max="57" width="37.42578125" style="105" hidden="1" customWidth="1"/>
    <col min="58" max="58" width="22.42578125" style="105" hidden="1" customWidth="1"/>
    <col min="59" max="59" width="11.5703125" style="105" hidden="1" customWidth="1"/>
    <col min="60" max="60" width="34.42578125" style="105" hidden="1" customWidth="1"/>
    <col min="61" max="61" width="23.5703125" style="105" hidden="1" customWidth="1"/>
    <col min="62" max="62" width="11.5703125" style="105" hidden="1" customWidth="1"/>
    <col min="63" max="63" width="35.7109375" style="105" hidden="1" customWidth="1"/>
    <col min="64" max="64" width="20.5703125" style="105" hidden="1" customWidth="1"/>
    <col min="65" max="65" width="11.5703125" style="105" hidden="1" customWidth="1"/>
    <col min="66" max="66" width="32.42578125" style="105" hidden="1" customWidth="1"/>
    <col min="67" max="67" width="18.7109375" style="105" hidden="1" customWidth="1"/>
    <col min="68" max="68" width="11.5703125" style="105" hidden="1" customWidth="1"/>
    <col min="69" max="69" width="30.7109375" style="105" hidden="1" customWidth="1"/>
    <col min="70" max="70" width="17.85546875" style="105" hidden="1" customWidth="1"/>
    <col min="71" max="71" width="11.5703125" style="105" hidden="1" customWidth="1"/>
    <col min="72" max="72" width="30" style="105" hidden="1" customWidth="1"/>
    <col min="73" max="73" width="18.85546875" style="105" hidden="1" customWidth="1"/>
    <col min="74" max="74" width="11.5703125" style="105" hidden="1" customWidth="1"/>
    <col min="75" max="75" width="31" style="105" hidden="1" customWidth="1"/>
    <col min="76" max="76" width="27.85546875" style="105" hidden="1" customWidth="1"/>
    <col min="77" max="77" width="22.42578125" style="105" hidden="1" customWidth="1"/>
    <col min="78" max="78" width="18" style="105" customWidth="1"/>
    <col min="79" max="79" width="19.85546875" style="105" hidden="1" customWidth="1"/>
    <col min="80" max="80" width="26.85546875" style="105" hidden="1" customWidth="1"/>
    <col min="81" max="81" width="19.7109375" style="105" customWidth="1"/>
    <col min="82" max="82" width="23" style="105" hidden="1" customWidth="1"/>
    <col min="83" max="83" width="24" style="105" customWidth="1"/>
    <col min="84" max="84" width="121.5703125" style="105" customWidth="1"/>
    <col min="85" max="85" width="18.28515625" style="102" hidden="1" customWidth="1"/>
    <col min="86" max="88" width="18.28515625" style="103" hidden="1" customWidth="1"/>
    <col min="89" max="89" width="20" style="102" hidden="1" customWidth="1"/>
    <col min="90" max="90" width="20.28515625" style="102" hidden="1" customWidth="1"/>
    <col min="91" max="91" width="20" style="102" hidden="1" customWidth="1"/>
    <col min="92" max="92" width="20" style="104" hidden="1" customWidth="1"/>
    <col min="93" max="93" width="20" style="102" hidden="1" customWidth="1"/>
    <col min="94" max="94" width="11.5703125" style="102" hidden="1" customWidth="1"/>
    <col min="95" max="95" width="20" style="105" hidden="1" customWidth="1"/>
    <col min="96" max="97" width="20" style="103" hidden="1" customWidth="1"/>
    <col min="98" max="98" width="20" style="102" hidden="1" customWidth="1"/>
    <col min="99" max="99" width="11.5703125" style="102" hidden="1" customWidth="1"/>
    <col min="100" max="101" width="20" style="102" hidden="1" customWidth="1"/>
    <col min="102" max="102" width="11.5703125" style="102" hidden="1" customWidth="1"/>
    <col min="103" max="104" width="20" style="102" hidden="1" customWidth="1"/>
    <col min="105" max="105" width="11.5703125" style="102" hidden="1" customWidth="1"/>
    <col min="106" max="118" width="20" style="102" hidden="1" customWidth="1"/>
    <col min="119" max="119" width="19.7109375" style="102" hidden="1" customWidth="1"/>
    <col min="120" max="120" width="20" style="106" hidden="1" customWidth="1"/>
    <col min="121" max="121" width="20" style="107" hidden="1" customWidth="1"/>
    <col min="122" max="122" width="19.5703125" style="103" hidden="1" customWidth="1"/>
    <col min="123" max="123" width="17.85546875" style="102" hidden="1" customWidth="1"/>
    <col min="124" max="124" width="20.28515625" style="105" hidden="1" customWidth="1"/>
    <col min="125" max="125" width="18.85546875" style="102" hidden="1" customWidth="1"/>
    <col min="126" max="126" width="20.28515625" style="105" hidden="1" customWidth="1"/>
    <col min="127" max="129" width="18.28515625" style="105" hidden="1" customWidth="1"/>
    <col min="130" max="130" width="19.140625" style="109" hidden="1" customWidth="1"/>
    <col min="131" max="131" width="14.140625" style="327" hidden="1" customWidth="1"/>
    <col min="132" max="16384" width="9.7109375" style="84"/>
  </cols>
  <sheetData>
    <row r="1" spans="1:131" s="362" customFormat="1" ht="18" x14ac:dyDescent="0.25">
      <c r="A1" s="367"/>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88"/>
      <c r="AB1" s="367"/>
      <c r="AC1" s="367"/>
      <c r="AD1" s="367"/>
      <c r="AE1" s="367"/>
      <c r="AF1" s="367"/>
      <c r="AG1" s="367"/>
      <c r="AH1" s="367"/>
      <c r="AI1" s="367"/>
      <c r="AJ1" s="367"/>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449" t="s">
        <v>616</v>
      </c>
      <c r="CG1" s="367"/>
      <c r="CH1" s="367"/>
      <c r="CI1" s="367"/>
      <c r="CJ1" s="367"/>
      <c r="CK1" s="367"/>
      <c r="CL1" s="367"/>
      <c r="CM1" s="367"/>
      <c r="CN1" s="367"/>
      <c r="CO1" s="367"/>
      <c r="CP1" s="367"/>
      <c r="CQ1" s="367"/>
      <c r="CR1" s="367"/>
      <c r="CS1" s="367"/>
      <c r="CT1" s="367"/>
      <c r="CU1" s="367"/>
      <c r="CV1" s="367"/>
      <c r="CW1" s="367"/>
      <c r="CX1" s="367"/>
      <c r="CY1" s="367"/>
      <c r="CZ1" s="369"/>
      <c r="DA1" s="369"/>
      <c r="DB1" s="367"/>
      <c r="DC1" s="367"/>
      <c r="DD1" s="367"/>
      <c r="DE1" s="367"/>
      <c r="DF1" s="367"/>
      <c r="DG1" s="367"/>
      <c r="DH1" s="367"/>
      <c r="DI1" s="367"/>
      <c r="DJ1" s="367"/>
      <c r="DK1" s="367"/>
      <c r="DL1" s="367"/>
      <c r="DM1" s="367"/>
      <c r="DN1" s="367"/>
      <c r="DO1" s="367"/>
      <c r="DP1" s="370"/>
      <c r="DQ1" s="370"/>
      <c r="DR1" s="371"/>
      <c r="DS1" s="367"/>
      <c r="DT1" s="367"/>
      <c r="DU1" s="367"/>
      <c r="DV1" s="367"/>
      <c r="DW1" s="369"/>
      <c r="DX1" s="369"/>
      <c r="DY1" s="369"/>
      <c r="DZ1" s="372"/>
      <c r="EA1" s="361"/>
    </row>
    <row r="2" spans="1:131" s="362" customFormat="1" ht="18" x14ac:dyDescent="0.25">
      <c r="A2" s="511" t="s">
        <v>453</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514"/>
      <c r="AF2" s="514"/>
      <c r="AG2" s="514"/>
      <c r="AH2" s="514"/>
      <c r="AI2" s="514"/>
      <c r="AJ2" s="514"/>
      <c r="AK2" s="514"/>
      <c r="AL2" s="514"/>
      <c r="AM2" s="514"/>
      <c r="AN2" s="514"/>
      <c r="AO2" s="514"/>
      <c r="AP2" s="514"/>
      <c r="AQ2" s="514"/>
      <c r="AR2" s="514"/>
      <c r="AS2" s="514"/>
      <c r="AT2" s="514"/>
      <c r="AU2" s="514"/>
      <c r="AV2" s="514"/>
      <c r="AW2" s="514"/>
      <c r="AX2" s="514"/>
      <c r="AY2" s="514"/>
      <c r="AZ2" s="514"/>
      <c r="BA2" s="514"/>
      <c r="BB2" s="514"/>
      <c r="BC2" s="514"/>
      <c r="BD2" s="514"/>
      <c r="BE2" s="514"/>
      <c r="BF2" s="514"/>
      <c r="BG2" s="514"/>
      <c r="BH2" s="514"/>
      <c r="BI2" s="514"/>
      <c r="BJ2" s="514"/>
      <c r="BK2" s="514"/>
      <c r="BL2" s="514"/>
      <c r="BM2" s="514"/>
      <c r="BN2" s="514"/>
      <c r="BO2" s="514"/>
      <c r="BP2" s="514"/>
      <c r="BQ2" s="514"/>
      <c r="BR2" s="514"/>
      <c r="BS2" s="514"/>
      <c r="BT2" s="514"/>
      <c r="BU2" s="514"/>
      <c r="BV2" s="514"/>
      <c r="BW2" s="514"/>
      <c r="BX2" s="514"/>
      <c r="BY2" s="514"/>
      <c r="BZ2" s="514"/>
      <c r="CA2" s="514"/>
      <c r="CB2" s="514"/>
      <c r="CC2" s="514"/>
      <c r="CD2" s="514"/>
      <c r="CE2" s="514"/>
      <c r="CF2" s="514"/>
      <c r="CG2" s="367"/>
      <c r="CH2" s="367"/>
      <c r="CI2" s="367"/>
      <c r="CJ2" s="367"/>
      <c r="CK2" s="367"/>
      <c r="CL2" s="367"/>
      <c r="CM2" s="367"/>
      <c r="CN2" s="367"/>
      <c r="CO2" s="367"/>
      <c r="CP2" s="367"/>
      <c r="CQ2" s="367"/>
      <c r="CR2" s="367"/>
      <c r="CS2" s="367"/>
      <c r="CT2" s="367"/>
      <c r="CU2" s="367"/>
      <c r="CV2" s="367"/>
      <c r="CW2" s="367"/>
      <c r="CX2" s="367"/>
      <c r="CY2" s="367"/>
      <c r="CZ2" s="369"/>
      <c r="DA2" s="369"/>
      <c r="DB2" s="367"/>
      <c r="DC2" s="367"/>
      <c r="DD2" s="367"/>
      <c r="DE2" s="367"/>
      <c r="DF2" s="367"/>
      <c r="DG2" s="367"/>
      <c r="DH2" s="367"/>
      <c r="DI2" s="367"/>
      <c r="DJ2" s="367"/>
      <c r="DK2" s="367"/>
      <c r="DL2" s="367"/>
      <c r="DM2" s="367"/>
      <c r="DN2" s="367"/>
      <c r="DO2" s="367"/>
      <c r="DP2" s="370"/>
      <c r="DQ2" s="370"/>
      <c r="DR2" s="371"/>
      <c r="DS2" s="367"/>
      <c r="DT2" s="367"/>
      <c r="DU2" s="367"/>
      <c r="DV2" s="367"/>
      <c r="DW2" s="369"/>
      <c r="DX2" s="369"/>
      <c r="DY2" s="369"/>
      <c r="DZ2" s="372"/>
      <c r="EA2" s="361"/>
    </row>
    <row r="3" spans="1:131" s="362" customFormat="1" ht="18" x14ac:dyDescent="0.25">
      <c r="A3" s="511" t="s">
        <v>790</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2"/>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c r="BT3" s="512"/>
      <c r="BU3" s="512"/>
      <c r="BV3" s="512"/>
      <c r="BW3" s="512"/>
      <c r="BX3" s="512"/>
      <c r="BY3" s="512"/>
      <c r="BZ3" s="512"/>
      <c r="CA3" s="512"/>
      <c r="CB3" s="512"/>
      <c r="CC3" s="512"/>
      <c r="CD3" s="512"/>
      <c r="CE3" s="512"/>
      <c r="CF3" s="512"/>
      <c r="CG3" s="512"/>
      <c r="CH3" s="512"/>
      <c r="CI3" s="512"/>
      <c r="CJ3" s="512"/>
      <c r="CK3" s="512"/>
      <c r="CL3" s="512"/>
      <c r="CM3" s="512"/>
      <c r="CN3" s="512"/>
      <c r="CO3" s="512"/>
      <c r="CP3" s="512"/>
      <c r="CQ3" s="512"/>
      <c r="CR3" s="512"/>
      <c r="CS3" s="512"/>
      <c r="CT3" s="512"/>
      <c r="CU3" s="512"/>
      <c r="CV3" s="512"/>
      <c r="CW3" s="512"/>
      <c r="CX3" s="512"/>
      <c r="CY3" s="512"/>
      <c r="CZ3" s="512"/>
      <c r="DA3" s="512"/>
      <c r="DB3" s="512"/>
      <c r="DC3" s="512"/>
      <c r="DD3" s="512"/>
      <c r="DE3" s="512"/>
      <c r="DF3" s="512"/>
      <c r="DG3" s="512"/>
      <c r="DH3" s="512"/>
      <c r="DI3" s="512"/>
      <c r="DJ3" s="512"/>
      <c r="DK3" s="512"/>
      <c r="DL3" s="512"/>
      <c r="DM3" s="512"/>
      <c r="DN3" s="512"/>
      <c r="DO3" s="512"/>
      <c r="DP3" s="512"/>
      <c r="DQ3" s="512"/>
      <c r="DR3" s="512"/>
      <c r="DS3" s="512"/>
      <c r="DT3" s="512"/>
      <c r="DU3" s="512"/>
      <c r="DV3" s="512"/>
      <c r="DW3" s="513"/>
      <c r="DX3" s="513"/>
      <c r="DY3" s="512"/>
      <c r="DZ3" s="512"/>
      <c r="EA3" s="361"/>
    </row>
    <row r="4" spans="1:131" s="364" customFormat="1" ht="18.75" thickBot="1" x14ac:dyDescent="0.3">
      <c r="A4" s="512"/>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2"/>
      <c r="BA4" s="512"/>
      <c r="BB4" s="512"/>
      <c r="BC4" s="512"/>
      <c r="BD4" s="512"/>
      <c r="BE4" s="512"/>
      <c r="BF4" s="512"/>
      <c r="BG4" s="512"/>
      <c r="BH4" s="512"/>
      <c r="BI4" s="512"/>
      <c r="BJ4" s="512"/>
      <c r="BK4" s="512"/>
      <c r="BL4" s="512"/>
      <c r="BM4" s="512"/>
      <c r="BN4" s="512"/>
      <c r="BO4" s="512"/>
      <c r="BP4" s="512"/>
      <c r="BQ4" s="512"/>
      <c r="BR4" s="512"/>
      <c r="BS4" s="512"/>
      <c r="BT4" s="512"/>
      <c r="BU4" s="512"/>
      <c r="BV4" s="512"/>
      <c r="BW4" s="512"/>
      <c r="BX4" s="512"/>
      <c r="BY4" s="512"/>
      <c r="BZ4" s="512"/>
      <c r="CA4" s="512"/>
      <c r="CB4" s="512"/>
      <c r="CC4" s="512"/>
      <c r="CD4" s="512"/>
      <c r="CE4" s="512"/>
      <c r="CF4" s="512"/>
      <c r="CG4" s="512"/>
      <c r="CH4" s="512"/>
      <c r="CI4" s="512"/>
      <c r="CJ4" s="512"/>
      <c r="CK4" s="512"/>
      <c r="CL4" s="512"/>
      <c r="CM4" s="512"/>
      <c r="CN4" s="512"/>
      <c r="CO4" s="512"/>
      <c r="CP4" s="512"/>
      <c r="CQ4" s="512"/>
      <c r="CR4" s="512"/>
      <c r="CS4" s="512"/>
      <c r="CT4" s="512"/>
      <c r="CU4" s="512"/>
      <c r="CV4" s="512"/>
      <c r="CW4" s="512"/>
      <c r="CX4" s="512"/>
      <c r="CY4" s="512"/>
      <c r="CZ4" s="512"/>
      <c r="DA4" s="512"/>
      <c r="DB4" s="512"/>
      <c r="DC4" s="512"/>
      <c r="DD4" s="512"/>
      <c r="DE4" s="512"/>
      <c r="DF4" s="512"/>
      <c r="DG4" s="512"/>
      <c r="DH4" s="512"/>
      <c r="DI4" s="512"/>
      <c r="DJ4" s="512"/>
      <c r="DK4" s="512"/>
      <c r="DL4" s="512"/>
      <c r="DM4" s="512"/>
      <c r="DN4" s="512"/>
      <c r="DO4" s="512"/>
      <c r="DP4" s="512"/>
      <c r="DQ4" s="512"/>
      <c r="DR4" s="512"/>
      <c r="DS4" s="512"/>
      <c r="DT4" s="512"/>
      <c r="DU4" s="512"/>
      <c r="DV4" s="512"/>
      <c r="DW4" s="513"/>
      <c r="DX4" s="513"/>
      <c r="DY4" s="512"/>
      <c r="DZ4" s="512"/>
      <c r="EA4" s="363"/>
    </row>
    <row r="5" spans="1:131" s="366" customFormat="1" ht="93.75" customHeight="1" thickBot="1" x14ac:dyDescent="0.3">
      <c r="A5" s="373" t="s">
        <v>10</v>
      </c>
      <c r="B5" s="374" t="s">
        <v>61</v>
      </c>
      <c r="C5" s="373" t="s">
        <v>224</v>
      </c>
      <c r="D5" s="375" t="s">
        <v>223</v>
      </c>
      <c r="E5" s="376" t="s">
        <v>438</v>
      </c>
      <c r="F5" s="376"/>
      <c r="G5" s="376"/>
      <c r="H5" s="376"/>
      <c r="I5" s="377" t="s">
        <v>12</v>
      </c>
      <c r="J5" s="377" t="s">
        <v>71</v>
      </c>
      <c r="K5" s="378" t="s">
        <v>199</v>
      </c>
      <c r="L5" s="378" t="s">
        <v>199</v>
      </c>
      <c r="M5" s="378" t="s">
        <v>199</v>
      </c>
      <c r="N5" s="378" t="s">
        <v>185</v>
      </c>
      <c r="O5" s="378" t="s">
        <v>185</v>
      </c>
      <c r="P5" s="378" t="s">
        <v>185</v>
      </c>
      <c r="Q5" s="378" t="s">
        <v>185</v>
      </c>
      <c r="R5" s="378" t="s">
        <v>185</v>
      </c>
      <c r="S5" s="378" t="s">
        <v>185</v>
      </c>
      <c r="T5" s="377" t="s">
        <v>25</v>
      </c>
      <c r="U5" s="377" t="s">
        <v>221</v>
      </c>
      <c r="V5" s="377" t="s">
        <v>402</v>
      </c>
      <c r="W5" s="377" t="s">
        <v>23</v>
      </c>
      <c r="X5" s="377" t="s">
        <v>79</v>
      </c>
      <c r="Y5" s="379" t="s">
        <v>22</v>
      </c>
      <c r="Z5" s="380" t="s">
        <v>91</v>
      </c>
      <c r="AA5" s="381" t="s">
        <v>11</v>
      </c>
      <c r="AB5" s="382" t="s">
        <v>432</v>
      </c>
      <c r="AC5" s="383" t="s">
        <v>207</v>
      </c>
      <c r="AD5" s="383" t="s">
        <v>250</v>
      </c>
      <c r="AE5" s="383" t="s">
        <v>251</v>
      </c>
      <c r="AF5" s="383" t="s">
        <v>284</v>
      </c>
      <c r="AG5" s="383" t="s">
        <v>431</v>
      </c>
      <c r="AH5" s="383" t="s">
        <v>291</v>
      </c>
      <c r="AI5" s="383" t="s">
        <v>292</v>
      </c>
      <c r="AJ5" s="385" t="s">
        <v>413</v>
      </c>
      <c r="AK5" s="436" t="s">
        <v>601</v>
      </c>
      <c r="AL5" s="437" t="s">
        <v>250</v>
      </c>
      <c r="AM5" s="437" t="s">
        <v>694</v>
      </c>
      <c r="AN5" s="438" t="s">
        <v>589</v>
      </c>
      <c r="AO5" s="385" t="s">
        <v>280</v>
      </c>
      <c r="AP5" s="387" t="s">
        <v>590</v>
      </c>
      <c r="AQ5" s="387" t="s">
        <v>591</v>
      </c>
      <c r="AR5" s="387" t="s">
        <v>280</v>
      </c>
      <c r="AS5" s="387" t="s">
        <v>592</v>
      </c>
      <c r="AT5" s="387" t="s">
        <v>593</v>
      </c>
      <c r="AU5" s="387" t="s">
        <v>280</v>
      </c>
      <c r="AV5" s="387" t="s">
        <v>594</v>
      </c>
      <c r="AW5" s="387" t="s">
        <v>595</v>
      </c>
      <c r="AX5" s="387" t="s">
        <v>280</v>
      </c>
      <c r="AY5" s="387" t="s">
        <v>596</v>
      </c>
      <c r="AZ5" s="387" t="s">
        <v>597</v>
      </c>
      <c r="BA5" s="387" t="s">
        <v>280</v>
      </c>
      <c r="BB5" s="387" t="s">
        <v>598</v>
      </c>
      <c r="BC5" s="387" t="s">
        <v>599</v>
      </c>
      <c r="BD5" s="387" t="s">
        <v>280</v>
      </c>
      <c r="BE5" s="387" t="s">
        <v>600</v>
      </c>
      <c r="BF5" s="387" t="s">
        <v>602</v>
      </c>
      <c r="BG5" s="387" t="s">
        <v>280</v>
      </c>
      <c r="BH5" s="387" t="s">
        <v>603</v>
      </c>
      <c r="BI5" s="387" t="s">
        <v>604</v>
      </c>
      <c r="BJ5" s="387" t="s">
        <v>280</v>
      </c>
      <c r="BK5" s="387" t="s">
        <v>605</v>
      </c>
      <c r="BL5" s="387" t="s">
        <v>606</v>
      </c>
      <c r="BM5" s="387" t="s">
        <v>280</v>
      </c>
      <c r="BN5" s="387" t="s">
        <v>607</v>
      </c>
      <c r="BO5" s="387" t="s">
        <v>609</v>
      </c>
      <c r="BP5" s="387" t="s">
        <v>280</v>
      </c>
      <c r="BQ5" s="387" t="s">
        <v>608</v>
      </c>
      <c r="BR5" s="387" t="s">
        <v>610</v>
      </c>
      <c r="BS5" s="387" t="s">
        <v>280</v>
      </c>
      <c r="BT5" s="387" t="s">
        <v>611</v>
      </c>
      <c r="BU5" s="387" t="s">
        <v>612</v>
      </c>
      <c r="BV5" s="387" t="s">
        <v>280</v>
      </c>
      <c r="BW5" s="387" t="s">
        <v>613</v>
      </c>
      <c r="BX5" s="387" t="s">
        <v>220</v>
      </c>
      <c r="BY5" s="387" t="s">
        <v>203</v>
      </c>
      <c r="BZ5" s="387" t="s">
        <v>614</v>
      </c>
      <c r="CA5" s="383" t="s">
        <v>282</v>
      </c>
      <c r="CB5" s="385" t="s">
        <v>204</v>
      </c>
      <c r="CC5" s="383" t="s">
        <v>204</v>
      </c>
      <c r="CD5" s="383" t="s">
        <v>206</v>
      </c>
      <c r="CE5" s="383" t="s">
        <v>898</v>
      </c>
      <c r="CF5" s="448" t="s">
        <v>205</v>
      </c>
      <c r="CG5" s="384" t="s">
        <v>139</v>
      </c>
      <c r="CH5" s="384" t="s">
        <v>289</v>
      </c>
      <c r="CI5" s="385" t="s">
        <v>434</v>
      </c>
      <c r="CJ5" s="385" t="s">
        <v>437</v>
      </c>
      <c r="CK5" s="383" t="s">
        <v>214</v>
      </c>
      <c r="CL5" s="383" t="s">
        <v>262</v>
      </c>
      <c r="CM5" s="383" t="s">
        <v>208</v>
      </c>
      <c r="CN5" s="383" t="s">
        <v>263</v>
      </c>
      <c r="CO5" s="383" t="s">
        <v>209</v>
      </c>
      <c r="CP5" s="383" t="s">
        <v>280</v>
      </c>
      <c r="CQ5" s="383" t="s">
        <v>264</v>
      </c>
      <c r="CR5" s="383" t="s">
        <v>277</v>
      </c>
      <c r="CS5" s="383" t="s">
        <v>278</v>
      </c>
      <c r="CT5" s="383" t="s">
        <v>210</v>
      </c>
      <c r="CU5" s="383" t="s">
        <v>280</v>
      </c>
      <c r="CV5" s="383" t="s">
        <v>265</v>
      </c>
      <c r="CW5" s="383" t="s">
        <v>211</v>
      </c>
      <c r="CX5" s="383" t="s">
        <v>280</v>
      </c>
      <c r="CY5" s="383" t="s">
        <v>266</v>
      </c>
      <c r="CZ5" s="383" t="s">
        <v>212</v>
      </c>
      <c r="DA5" s="383" t="s">
        <v>280</v>
      </c>
      <c r="DB5" s="383" t="s">
        <v>267</v>
      </c>
      <c r="DC5" s="383" t="s">
        <v>213</v>
      </c>
      <c r="DD5" s="383" t="s">
        <v>268</v>
      </c>
      <c r="DE5" s="383" t="s">
        <v>215</v>
      </c>
      <c r="DF5" s="383" t="s">
        <v>269</v>
      </c>
      <c r="DG5" s="383" t="s">
        <v>216</v>
      </c>
      <c r="DH5" s="383" t="s">
        <v>270</v>
      </c>
      <c r="DI5" s="383" t="s">
        <v>217</v>
      </c>
      <c r="DJ5" s="383" t="s">
        <v>271</v>
      </c>
      <c r="DK5" s="383" t="s">
        <v>218</v>
      </c>
      <c r="DL5" s="383" t="s">
        <v>272</v>
      </c>
      <c r="DM5" s="383" t="s">
        <v>219</v>
      </c>
      <c r="DN5" s="383" t="s">
        <v>273</v>
      </c>
      <c r="DO5" s="383" t="s">
        <v>220</v>
      </c>
      <c r="DP5" s="386" t="s">
        <v>203</v>
      </c>
      <c r="DQ5" s="386" t="s">
        <v>274</v>
      </c>
      <c r="DR5" s="383" t="s">
        <v>282</v>
      </c>
      <c r="DS5" s="383" t="s">
        <v>204</v>
      </c>
      <c r="DT5" s="383" t="s">
        <v>275</v>
      </c>
      <c r="DU5" s="383" t="s">
        <v>206</v>
      </c>
      <c r="DV5" s="383" t="s">
        <v>276</v>
      </c>
      <c r="DW5" s="384" t="s">
        <v>434</v>
      </c>
      <c r="DX5" s="384" t="s">
        <v>437</v>
      </c>
      <c r="DY5" s="384" t="s">
        <v>434</v>
      </c>
      <c r="DZ5" s="383" t="s">
        <v>205</v>
      </c>
      <c r="EA5" s="365"/>
    </row>
    <row r="6" spans="1:131" s="1" customFormat="1" ht="31.5" x14ac:dyDescent="0.25">
      <c r="A6" s="2" t="s">
        <v>163</v>
      </c>
      <c r="B6" s="3"/>
      <c r="C6" s="2"/>
      <c r="D6" s="3"/>
      <c r="E6" s="3"/>
      <c r="F6" s="3"/>
      <c r="G6" s="3"/>
      <c r="H6" s="3"/>
      <c r="I6" s="3"/>
      <c r="J6" s="4"/>
      <c r="K6" s="3"/>
      <c r="L6" s="3"/>
      <c r="M6" s="45"/>
      <c r="N6" s="3"/>
      <c r="O6" s="3"/>
      <c r="P6" s="3"/>
      <c r="Q6" s="3"/>
      <c r="R6" s="3"/>
      <c r="S6" s="3"/>
      <c r="T6" s="3"/>
      <c r="U6" s="3"/>
      <c r="V6" s="3"/>
      <c r="W6" s="3"/>
      <c r="X6" s="3"/>
      <c r="Y6" s="3"/>
      <c r="Z6" s="346"/>
      <c r="AA6" s="335" t="s">
        <v>688</v>
      </c>
      <c r="AB6" s="3"/>
      <c r="AC6" s="5"/>
      <c r="AD6" s="5"/>
      <c r="AE6" s="5"/>
      <c r="AF6" s="5"/>
      <c r="AG6" s="5"/>
      <c r="AH6" s="5"/>
      <c r="AI6" s="5"/>
      <c r="AJ6" s="406"/>
      <c r="AK6" s="5"/>
      <c r="AL6" s="411"/>
      <c r="AM6" s="411"/>
      <c r="AN6" s="411"/>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406"/>
      <c r="CF6" s="452"/>
      <c r="CG6" s="411"/>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6"/>
      <c r="DQ6" s="6"/>
      <c r="DR6" s="7"/>
      <c r="DS6" s="5"/>
      <c r="DT6" s="5"/>
      <c r="DU6" s="5"/>
      <c r="DV6" s="5"/>
      <c r="DW6" s="5"/>
      <c r="DX6" s="5"/>
      <c r="DY6" s="5"/>
      <c r="DZ6" s="27"/>
      <c r="EA6" s="109"/>
    </row>
    <row r="7" spans="1:131" s="1" customFormat="1" x14ac:dyDescent="0.25">
      <c r="A7" s="8" t="s">
        <v>164</v>
      </c>
      <c r="B7" s="459" t="s">
        <v>756</v>
      </c>
      <c r="C7" s="8" t="s">
        <v>622</v>
      </c>
      <c r="D7" s="3"/>
      <c r="E7" s="3">
        <v>105005</v>
      </c>
      <c r="F7" s="353">
        <v>4</v>
      </c>
      <c r="G7" s="359" t="s">
        <v>187</v>
      </c>
      <c r="H7" s="353">
        <v>1501</v>
      </c>
      <c r="I7" s="9" t="s">
        <v>29</v>
      </c>
      <c r="J7" s="252" t="s">
        <v>72</v>
      </c>
      <c r="K7" s="3">
        <v>4</v>
      </c>
      <c r="L7" s="11" t="s">
        <v>187</v>
      </c>
      <c r="M7" s="45"/>
      <c r="N7" s="3" t="s">
        <v>186</v>
      </c>
      <c r="O7" s="11" t="s">
        <v>187</v>
      </c>
      <c r="P7" s="3" t="s">
        <v>187</v>
      </c>
      <c r="Q7" s="3" t="s">
        <v>187</v>
      </c>
      <c r="R7" s="3">
        <v>270</v>
      </c>
      <c r="S7" s="3" t="s">
        <v>188</v>
      </c>
      <c r="T7" s="12" t="s">
        <v>26</v>
      </c>
      <c r="U7" s="12" t="s">
        <v>222</v>
      </c>
      <c r="V7" s="3"/>
      <c r="W7" s="12" t="s">
        <v>5</v>
      </c>
      <c r="X7" s="3"/>
      <c r="Y7" s="13" t="s">
        <v>99</v>
      </c>
      <c r="Z7" s="3" t="s">
        <v>92</v>
      </c>
      <c r="AA7" s="336" t="s">
        <v>293</v>
      </c>
      <c r="AB7" s="12" t="s">
        <v>8</v>
      </c>
      <c r="AC7" s="5"/>
      <c r="AD7" s="5"/>
      <c r="AE7" s="5"/>
      <c r="AF7" s="5"/>
      <c r="AG7" s="7">
        <f>AE7+AF7</f>
        <v>0</v>
      </c>
      <c r="AH7" s="7"/>
      <c r="AI7" s="7">
        <f>+AG7+AH7</f>
        <v>0</v>
      </c>
      <c r="AJ7" s="62"/>
      <c r="AK7" s="7">
        <v>500000</v>
      </c>
      <c r="AL7" s="33"/>
      <c r="AM7" s="33">
        <f t="shared" ref="AM7:AM16" si="0">AK7+AL7</f>
        <v>500000</v>
      </c>
      <c r="AN7" s="33">
        <v>0</v>
      </c>
      <c r="AO7" s="7">
        <v>0</v>
      </c>
      <c r="AP7" s="7">
        <f>AN7+AO7</f>
        <v>0</v>
      </c>
      <c r="AQ7" s="7"/>
      <c r="AR7" s="7"/>
      <c r="AS7" s="7">
        <f>AQ7+AR7</f>
        <v>0</v>
      </c>
      <c r="AT7" s="7"/>
      <c r="AU7" s="7"/>
      <c r="AV7" s="7">
        <f>AT7+AU7</f>
        <v>0</v>
      </c>
      <c r="AW7" s="7">
        <v>278508.77</v>
      </c>
      <c r="AX7" s="7"/>
      <c r="AY7" s="7">
        <f>AW7+AX7</f>
        <v>278508.77</v>
      </c>
      <c r="AZ7" s="7"/>
      <c r="BA7" s="7"/>
      <c r="BB7" s="7">
        <f>AZ7+BA7</f>
        <v>0</v>
      </c>
      <c r="BC7" s="7"/>
      <c r="BD7" s="7"/>
      <c r="BE7" s="7">
        <f>BC7+BD7</f>
        <v>0</v>
      </c>
      <c r="BF7" s="7"/>
      <c r="BG7" s="7"/>
      <c r="BH7" s="7">
        <f>BF7+BG7</f>
        <v>0</v>
      </c>
      <c r="BI7" s="7"/>
      <c r="BJ7" s="7"/>
      <c r="BK7" s="7">
        <f>BI7+BJ7</f>
        <v>0</v>
      </c>
      <c r="BL7" s="7"/>
      <c r="BM7" s="7"/>
      <c r="BN7" s="7">
        <f>BL7+BM7</f>
        <v>0</v>
      </c>
      <c r="BO7" s="7"/>
      <c r="BP7" s="7"/>
      <c r="BQ7" s="7">
        <f>BO7+BP7</f>
        <v>0</v>
      </c>
      <c r="BR7" s="7"/>
      <c r="BS7" s="7"/>
      <c r="BT7" s="7">
        <f>BR7+BS7</f>
        <v>0</v>
      </c>
      <c r="BU7" s="7"/>
      <c r="BV7" s="7"/>
      <c r="BW7" s="7">
        <f>BU7+BV7</f>
        <v>0</v>
      </c>
      <c r="BX7" s="7">
        <v>10235.219999999999</v>
      </c>
      <c r="BY7" s="7">
        <f>AN7+AQ7+AT7++AW7+AZ7+BC7+BF7+BI7+BL7+BO7+BR7+BU7</f>
        <v>278508.77</v>
      </c>
      <c r="BZ7" s="7">
        <f>AP7+AS7+AV7+AY7+BB7+BE7+BH7+BK7+BN7+BQ7+BT7+BW7</f>
        <v>278508.77</v>
      </c>
      <c r="CA7" s="7"/>
      <c r="CB7" s="7">
        <f>AM7-BY7</f>
        <v>221491.22999999998</v>
      </c>
      <c r="CC7" s="7">
        <f>AM7-BZ7</f>
        <v>221491.22999999998</v>
      </c>
      <c r="CD7" s="15">
        <f>BY7/AM7</f>
        <v>0.55701754000000003</v>
      </c>
      <c r="CE7" s="294">
        <f>BZ7/AM7</f>
        <v>0.55701754000000003</v>
      </c>
      <c r="CF7" s="451" t="s">
        <v>865</v>
      </c>
      <c r="CG7" s="33">
        <v>500000</v>
      </c>
      <c r="CH7" s="7">
        <v>500000</v>
      </c>
      <c r="CI7" s="7"/>
      <c r="CJ7" s="7"/>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6"/>
      <c r="DQ7" s="6"/>
      <c r="DR7" s="7"/>
      <c r="DS7" s="5"/>
      <c r="DT7" s="5"/>
      <c r="DU7" s="5"/>
      <c r="DV7" s="5"/>
      <c r="DW7" s="5"/>
      <c r="DX7" s="5"/>
      <c r="DY7" s="5"/>
      <c r="DZ7" s="27"/>
      <c r="EA7" s="109"/>
    </row>
    <row r="8" spans="1:131" s="1" customFormat="1" x14ac:dyDescent="0.25">
      <c r="A8" s="8" t="s">
        <v>164</v>
      </c>
      <c r="B8" s="459" t="s">
        <v>756</v>
      </c>
      <c r="C8" s="8" t="s">
        <v>626</v>
      </c>
      <c r="D8" s="3"/>
      <c r="E8" s="3">
        <v>105005</v>
      </c>
      <c r="F8" s="353">
        <v>5</v>
      </c>
      <c r="G8" s="359" t="s">
        <v>186</v>
      </c>
      <c r="H8" s="353">
        <v>1518</v>
      </c>
      <c r="I8" s="9" t="s">
        <v>246</v>
      </c>
      <c r="J8" s="252" t="s">
        <v>72</v>
      </c>
      <c r="K8" s="3"/>
      <c r="L8" s="11"/>
      <c r="M8" s="45"/>
      <c r="N8" s="3" t="s">
        <v>186</v>
      </c>
      <c r="O8" s="11" t="s">
        <v>189</v>
      </c>
      <c r="P8" s="3" t="s">
        <v>187</v>
      </c>
      <c r="Q8" s="3" t="s">
        <v>187</v>
      </c>
      <c r="R8" s="3">
        <v>270</v>
      </c>
      <c r="S8" s="3" t="s">
        <v>188</v>
      </c>
      <c r="T8" s="12" t="s">
        <v>26</v>
      </c>
      <c r="U8" s="12" t="s">
        <v>222</v>
      </c>
      <c r="V8" s="3"/>
      <c r="W8" s="12" t="s">
        <v>5</v>
      </c>
      <c r="X8" s="3"/>
      <c r="Y8" s="13"/>
      <c r="Z8" s="3" t="s">
        <v>92</v>
      </c>
      <c r="AA8" s="336" t="s">
        <v>778</v>
      </c>
      <c r="AB8" s="12" t="s">
        <v>8</v>
      </c>
      <c r="AC8" s="5"/>
      <c r="AD8" s="5"/>
      <c r="AE8" s="5"/>
      <c r="AF8" s="5"/>
      <c r="AG8" s="7"/>
      <c r="AH8" s="7"/>
      <c r="AI8" s="7"/>
      <c r="AJ8" s="62"/>
      <c r="AK8" s="7"/>
      <c r="AL8" s="33"/>
      <c r="AM8" s="33">
        <v>13000</v>
      </c>
      <c r="AN8" s="33"/>
      <c r="AO8" s="7"/>
      <c r="AP8" s="7"/>
      <c r="AQ8" s="7"/>
      <c r="AR8" s="7"/>
      <c r="AS8" s="7"/>
      <c r="AT8" s="7"/>
      <c r="AU8" s="7"/>
      <c r="AV8" s="7">
        <f>AT8+AU8</f>
        <v>0</v>
      </c>
      <c r="AW8" s="7"/>
      <c r="AX8" s="7"/>
      <c r="AY8" s="7">
        <f t="shared" ref="AY8:AY73" si="1">AW8+AX8</f>
        <v>0</v>
      </c>
      <c r="AZ8" s="7"/>
      <c r="BA8" s="7"/>
      <c r="BB8" s="7"/>
      <c r="BC8" s="7"/>
      <c r="BD8" s="7"/>
      <c r="BE8" s="7"/>
      <c r="BF8" s="7"/>
      <c r="BG8" s="7"/>
      <c r="BH8" s="7"/>
      <c r="BI8" s="7"/>
      <c r="BJ8" s="7"/>
      <c r="BK8" s="7"/>
      <c r="BL8" s="7"/>
      <c r="BM8" s="7"/>
      <c r="BN8" s="7"/>
      <c r="BO8" s="7"/>
      <c r="BP8" s="7"/>
      <c r="BQ8" s="7"/>
      <c r="BR8" s="7"/>
      <c r="BS8" s="7"/>
      <c r="BT8" s="7"/>
      <c r="BU8" s="7"/>
      <c r="BV8" s="7"/>
      <c r="BW8" s="7"/>
      <c r="BX8" s="7"/>
      <c r="BY8" s="7">
        <f t="shared" ref="BY8:BY9" si="2">AN8+AQ8+AT8++AW8+AZ8+BC8+BF8+BI8+BL8+BO8+BR8+BU8</f>
        <v>0</v>
      </c>
      <c r="BZ8" s="7">
        <f t="shared" ref="BZ8:BZ9" si="3">AP8+AS8+AV8+AY8+BB8+BE8+BH8+BK8+BN8+BQ8+BT8+BW8</f>
        <v>0</v>
      </c>
      <c r="CA8" s="7"/>
      <c r="CB8" s="7">
        <f>AM8-BY8</f>
        <v>13000</v>
      </c>
      <c r="CC8" s="7">
        <f>AM8-BZ8</f>
        <v>13000</v>
      </c>
      <c r="CD8" s="15">
        <f>BY8/AM8</f>
        <v>0</v>
      </c>
      <c r="CE8" s="294">
        <f>BZ8/AM8</f>
        <v>0</v>
      </c>
      <c r="CF8" s="451" t="s">
        <v>685</v>
      </c>
      <c r="CG8" s="33"/>
      <c r="CH8" s="7"/>
      <c r="CI8" s="7"/>
      <c r="CJ8" s="7"/>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6"/>
      <c r="DQ8" s="6"/>
      <c r="DR8" s="7"/>
      <c r="DS8" s="5"/>
      <c r="DT8" s="5"/>
      <c r="DU8" s="5"/>
      <c r="DV8" s="5"/>
      <c r="DW8" s="5"/>
      <c r="DX8" s="5"/>
      <c r="DY8" s="5"/>
      <c r="DZ8" s="27"/>
      <c r="EA8" s="109"/>
    </row>
    <row r="9" spans="1:131" s="1" customFormat="1" x14ac:dyDescent="0.25">
      <c r="A9" s="8" t="s">
        <v>164</v>
      </c>
      <c r="B9" s="459" t="s">
        <v>799</v>
      </c>
      <c r="C9" s="8" t="s">
        <v>626</v>
      </c>
      <c r="D9" s="3"/>
      <c r="E9" s="3">
        <v>105005</v>
      </c>
      <c r="F9" s="353">
        <v>5</v>
      </c>
      <c r="G9" s="359" t="s">
        <v>186</v>
      </c>
      <c r="H9" s="353">
        <v>1527</v>
      </c>
      <c r="I9" s="9" t="s">
        <v>246</v>
      </c>
      <c r="J9" s="252" t="s">
        <v>72</v>
      </c>
      <c r="K9" s="3">
        <v>5</v>
      </c>
      <c r="L9" s="11" t="s">
        <v>186</v>
      </c>
      <c r="M9" s="45"/>
      <c r="N9" s="3" t="s">
        <v>186</v>
      </c>
      <c r="O9" s="11" t="s">
        <v>189</v>
      </c>
      <c r="P9" s="3" t="s">
        <v>187</v>
      </c>
      <c r="Q9" s="3" t="s">
        <v>187</v>
      </c>
      <c r="R9" s="3">
        <v>270</v>
      </c>
      <c r="S9" s="3" t="s">
        <v>188</v>
      </c>
      <c r="T9" s="12" t="s">
        <v>26</v>
      </c>
      <c r="U9" s="12" t="s">
        <v>222</v>
      </c>
      <c r="V9" s="3"/>
      <c r="W9" s="12" t="s">
        <v>5</v>
      </c>
      <c r="X9" s="3"/>
      <c r="Y9" s="13"/>
      <c r="Z9" s="3" t="s">
        <v>92</v>
      </c>
      <c r="AA9" s="336" t="s">
        <v>801</v>
      </c>
      <c r="AB9" s="12" t="s">
        <v>8</v>
      </c>
      <c r="AC9" s="5"/>
      <c r="AD9" s="5"/>
      <c r="AE9" s="5"/>
      <c r="AF9" s="5"/>
      <c r="AG9" s="7"/>
      <c r="AH9" s="7"/>
      <c r="AI9" s="7"/>
      <c r="AJ9" s="62"/>
      <c r="AK9" s="7"/>
      <c r="AL9" s="33"/>
      <c r="AM9" s="33">
        <v>13000</v>
      </c>
      <c r="AN9" s="33"/>
      <c r="AO9" s="7"/>
      <c r="AP9" s="7"/>
      <c r="AQ9" s="7"/>
      <c r="AR9" s="7"/>
      <c r="AS9" s="7"/>
      <c r="AT9" s="7"/>
      <c r="AU9" s="7"/>
      <c r="AV9" s="7"/>
      <c r="AW9" s="7"/>
      <c r="AX9" s="7"/>
      <c r="AY9" s="7">
        <f t="shared" si="1"/>
        <v>0</v>
      </c>
      <c r="AZ9" s="7"/>
      <c r="BA9" s="7"/>
      <c r="BB9" s="7"/>
      <c r="BC9" s="7"/>
      <c r="BD9" s="7"/>
      <c r="BE9" s="7"/>
      <c r="BF9" s="7"/>
      <c r="BG9" s="7"/>
      <c r="BH9" s="7"/>
      <c r="BI9" s="7"/>
      <c r="BJ9" s="7"/>
      <c r="BK9" s="7"/>
      <c r="BL9" s="7"/>
      <c r="BM9" s="7"/>
      <c r="BN9" s="7"/>
      <c r="BO9" s="7"/>
      <c r="BP9" s="7"/>
      <c r="BQ9" s="7"/>
      <c r="BR9" s="7"/>
      <c r="BS9" s="7"/>
      <c r="BT9" s="7"/>
      <c r="BU9" s="7"/>
      <c r="BV9" s="7"/>
      <c r="BW9" s="7"/>
      <c r="BX9" s="7"/>
      <c r="BY9" s="7">
        <f t="shared" si="2"/>
        <v>0</v>
      </c>
      <c r="BZ9" s="7">
        <f t="shared" si="3"/>
        <v>0</v>
      </c>
      <c r="CA9" s="7"/>
      <c r="CB9" s="7">
        <f t="shared" ref="CB9:CB10" si="4">AM9-BY9</f>
        <v>13000</v>
      </c>
      <c r="CC9" s="7">
        <f t="shared" ref="CC9:CC10" si="5">AM9-BZ9</f>
        <v>13000</v>
      </c>
      <c r="CD9" s="15">
        <f t="shared" ref="CD9:CD10" si="6">BY9/AM9</f>
        <v>0</v>
      </c>
      <c r="CE9" s="294">
        <f t="shared" ref="CE9:CE10" si="7">BZ9/AM9</f>
        <v>0</v>
      </c>
      <c r="CF9" s="451" t="s">
        <v>809</v>
      </c>
      <c r="CG9" s="33"/>
      <c r="CH9" s="7"/>
      <c r="CI9" s="7"/>
      <c r="CJ9" s="7"/>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6"/>
      <c r="DQ9" s="6"/>
      <c r="DR9" s="7"/>
      <c r="DS9" s="5"/>
      <c r="DT9" s="5"/>
      <c r="DU9" s="5"/>
      <c r="DV9" s="5"/>
      <c r="DW9" s="5"/>
      <c r="DX9" s="5"/>
      <c r="DY9" s="5"/>
      <c r="DZ9" s="27"/>
      <c r="EA9" s="109"/>
    </row>
    <row r="10" spans="1:131" s="1" customFormat="1" x14ac:dyDescent="0.25">
      <c r="A10" s="8" t="s">
        <v>164</v>
      </c>
      <c r="B10" s="459" t="s">
        <v>756</v>
      </c>
      <c r="C10" s="8" t="s">
        <v>622</v>
      </c>
      <c r="D10" s="3"/>
      <c r="E10" s="3">
        <v>105005</v>
      </c>
      <c r="F10" s="353">
        <v>6</v>
      </c>
      <c r="G10" s="359" t="s">
        <v>187</v>
      </c>
      <c r="H10" s="353">
        <v>1501</v>
      </c>
      <c r="I10" s="9" t="s">
        <v>29</v>
      </c>
      <c r="J10" s="252" t="s">
        <v>72</v>
      </c>
      <c r="K10" s="3"/>
      <c r="L10" s="11"/>
      <c r="M10" s="45"/>
      <c r="N10" s="3" t="s">
        <v>186</v>
      </c>
      <c r="O10" s="11" t="s">
        <v>187</v>
      </c>
      <c r="P10" s="3" t="s">
        <v>187</v>
      </c>
      <c r="Q10" s="3" t="s">
        <v>187</v>
      </c>
      <c r="R10" s="3">
        <v>280</v>
      </c>
      <c r="S10" s="11" t="s">
        <v>259</v>
      </c>
      <c r="T10" s="12" t="s">
        <v>26</v>
      </c>
      <c r="U10" s="12" t="s">
        <v>222</v>
      </c>
      <c r="V10" s="3"/>
      <c r="W10" s="12" t="s">
        <v>5</v>
      </c>
      <c r="X10" s="3"/>
      <c r="Y10" s="13"/>
      <c r="Z10" s="3" t="s">
        <v>92</v>
      </c>
      <c r="AA10" s="336" t="s">
        <v>696</v>
      </c>
      <c r="AB10" s="12" t="s">
        <v>697</v>
      </c>
      <c r="AC10" s="5"/>
      <c r="AD10" s="5"/>
      <c r="AE10" s="5"/>
      <c r="AF10" s="5"/>
      <c r="AG10" s="7"/>
      <c r="AH10" s="7"/>
      <c r="AI10" s="7"/>
      <c r="AJ10" s="62"/>
      <c r="AK10" s="7"/>
      <c r="AL10" s="33">
        <v>1284326</v>
      </c>
      <c r="AM10" s="33">
        <f t="shared" si="0"/>
        <v>1284326</v>
      </c>
      <c r="AN10" s="33"/>
      <c r="AO10" s="7"/>
      <c r="AP10" s="7">
        <f>AN10+AO10</f>
        <v>0</v>
      </c>
      <c r="AQ10" s="7"/>
      <c r="AR10" s="7"/>
      <c r="AS10" s="7">
        <f t="shared" ref="AS10:AS16" si="8">AQ10+AR10</f>
        <v>0</v>
      </c>
      <c r="AT10" s="7"/>
      <c r="AU10" s="7"/>
      <c r="AV10" s="7">
        <f t="shared" ref="AV10:AV16" si="9">AT10+AU10</f>
        <v>0</v>
      </c>
      <c r="AW10" s="7"/>
      <c r="AX10" s="7"/>
      <c r="AY10" s="7">
        <f t="shared" si="1"/>
        <v>0</v>
      </c>
      <c r="AZ10" s="7"/>
      <c r="BA10" s="7"/>
      <c r="BB10" s="7">
        <f t="shared" ref="BB10:BB16" si="10">AZ10+BA10</f>
        <v>0</v>
      </c>
      <c r="BC10" s="7"/>
      <c r="BD10" s="7"/>
      <c r="BE10" s="7">
        <f t="shared" ref="BE10:BE16" si="11">BC10+BD10</f>
        <v>0</v>
      </c>
      <c r="BF10" s="7"/>
      <c r="BG10" s="7"/>
      <c r="BH10" s="7">
        <f t="shared" ref="BH10:BH16" si="12">BF10+BG10</f>
        <v>0</v>
      </c>
      <c r="BI10" s="7"/>
      <c r="BJ10" s="7"/>
      <c r="BK10" s="7">
        <f t="shared" ref="BK10:BK16" si="13">BI10+BJ10</f>
        <v>0</v>
      </c>
      <c r="BL10" s="7"/>
      <c r="BM10" s="7"/>
      <c r="BN10" s="7">
        <f t="shared" ref="BN10:BN16" si="14">BL10+BM10</f>
        <v>0</v>
      </c>
      <c r="BO10" s="7"/>
      <c r="BP10" s="7"/>
      <c r="BQ10" s="7">
        <f t="shared" ref="BQ10:BQ16" si="15">BO10+BP10</f>
        <v>0</v>
      </c>
      <c r="BR10" s="7"/>
      <c r="BS10" s="7"/>
      <c r="BT10" s="7">
        <f t="shared" ref="BT10:BT16" si="16">BR10+BS10</f>
        <v>0</v>
      </c>
      <c r="BU10" s="7"/>
      <c r="BV10" s="7"/>
      <c r="BW10" s="7">
        <f t="shared" ref="BW10:BW16" si="17">BU10+BV10</f>
        <v>0</v>
      </c>
      <c r="BX10" s="7"/>
      <c r="BY10" s="7">
        <f t="shared" ref="BY10:BY79" si="18">AN10+AQ10+AT10++AW10+AZ10+BC10+BF10+BI10+BL10+BO10+BR10+BU10</f>
        <v>0</v>
      </c>
      <c r="BZ10" s="7">
        <f t="shared" ref="BZ10:BZ79" si="19">AP10+AS10+AV10+AY10+BB10+BE10+BH10+BK10+BN10+BQ10+BT10+BW10</f>
        <v>0</v>
      </c>
      <c r="CA10" s="7"/>
      <c r="CB10" s="7">
        <f t="shared" si="4"/>
        <v>1284326</v>
      </c>
      <c r="CC10" s="7">
        <f t="shared" si="5"/>
        <v>1284326</v>
      </c>
      <c r="CD10" s="15">
        <f t="shared" si="6"/>
        <v>0</v>
      </c>
      <c r="CE10" s="294">
        <f t="shared" si="7"/>
        <v>0</v>
      </c>
      <c r="CF10" s="451" t="s">
        <v>834</v>
      </c>
      <c r="CG10" s="33"/>
      <c r="CH10" s="7"/>
      <c r="CI10" s="7"/>
      <c r="CJ10" s="7"/>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6"/>
      <c r="DQ10" s="6"/>
      <c r="DR10" s="7"/>
      <c r="DS10" s="5"/>
      <c r="DT10" s="5"/>
      <c r="DU10" s="5"/>
      <c r="DV10" s="5"/>
      <c r="DW10" s="5"/>
      <c r="DX10" s="5"/>
      <c r="DY10" s="5"/>
      <c r="DZ10" s="27"/>
      <c r="EA10" s="109"/>
    </row>
    <row r="11" spans="1:131" s="1" customFormat="1" x14ac:dyDescent="0.25">
      <c r="A11" s="8" t="s">
        <v>164</v>
      </c>
      <c r="B11" s="459" t="s">
        <v>756</v>
      </c>
      <c r="C11" s="8" t="s">
        <v>622</v>
      </c>
      <c r="D11" s="3"/>
      <c r="E11" s="3">
        <v>105005</v>
      </c>
      <c r="F11" s="353">
        <v>6</v>
      </c>
      <c r="G11" s="359" t="s">
        <v>187</v>
      </c>
      <c r="H11" s="353">
        <v>1502</v>
      </c>
      <c r="I11" s="9" t="s">
        <v>29</v>
      </c>
      <c r="J11" s="252" t="s">
        <v>72</v>
      </c>
      <c r="K11" s="3"/>
      <c r="L11" s="11"/>
      <c r="M11" s="45"/>
      <c r="N11" s="3" t="s">
        <v>186</v>
      </c>
      <c r="O11" s="11" t="s">
        <v>187</v>
      </c>
      <c r="P11" s="3" t="s">
        <v>187</v>
      </c>
      <c r="Q11" s="3" t="s">
        <v>187</v>
      </c>
      <c r="R11" s="3">
        <v>271</v>
      </c>
      <c r="S11" s="11" t="s">
        <v>259</v>
      </c>
      <c r="T11" s="12" t="s">
        <v>26</v>
      </c>
      <c r="U11" s="12" t="s">
        <v>222</v>
      </c>
      <c r="V11" s="3"/>
      <c r="W11" s="12" t="s">
        <v>5</v>
      </c>
      <c r="X11" s="3"/>
      <c r="Y11" s="13"/>
      <c r="Z11" s="3" t="s">
        <v>92</v>
      </c>
      <c r="AA11" s="336" t="s">
        <v>698</v>
      </c>
      <c r="AB11" s="12" t="s">
        <v>697</v>
      </c>
      <c r="AC11" s="5"/>
      <c r="AD11" s="5"/>
      <c r="AE11" s="5"/>
      <c r="AF11" s="5"/>
      <c r="AG11" s="7"/>
      <c r="AH11" s="7"/>
      <c r="AI11" s="7"/>
      <c r="AJ11" s="62"/>
      <c r="AK11" s="7"/>
      <c r="AL11" s="33">
        <v>1489573</v>
      </c>
      <c r="AM11" s="33">
        <f t="shared" si="0"/>
        <v>1489573</v>
      </c>
      <c r="AN11" s="33"/>
      <c r="AO11" s="7"/>
      <c r="AP11" s="7"/>
      <c r="AQ11" s="7"/>
      <c r="AR11" s="7"/>
      <c r="AS11" s="7">
        <f t="shared" si="8"/>
        <v>0</v>
      </c>
      <c r="AT11" s="7"/>
      <c r="AU11" s="7"/>
      <c r="AV11" s="7">
        <f t="shared" si="9"/>
        <v>0</v>
      </c>
      <c r="AW11" s="7"/>
      <c r="AX11" s="7"/>
      <c r="AY11" s="7">
        <f t="shared" si="1"/>
        <v>0</v>
      </c>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f t="shared" si="18"/>
        <v>0</v>
      </c>
      <c r="BZ11" s="7">
        <f t="shared" si="19"/>
        <v>0</v>
      </c>
      <c r="CA11" s="7"/>
      <c r="CB11" s="7">
        <f t="shared" ref="CB11:CB79" si="20">AM11-BY11</f>
        <v>1489573</v>
      </c>
      <c r="CC11" s="7">
        <f t="shared" ref="CC11:CC79" si="21">AM11-BZ11</f>
        <v>1489573</v>
      </c>
      <c r="CD11" s="15">
        <f t="shared" ref="CD11:CD79" si="22">BY11/AM11</f>
        <v>0</v>
      </c>
      <c r="CE11" s="294">
        <f t="shared" ref="CE11:CE79" si="23">BZ11/AM11</f>
        <v>0</v>
      </c>
      <c r="CF11" s="451" t="s">
        <v>810</v>
      </c>
      <c r="CG11" s="33"/>
      <c r="CH11" s="7"/>
      <c r="CI11" s="7"/>
      <c r="CJ11" s="7"/>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6"/>
      <c r="DQ11" s="6"/>
      <c r="DR11" s="7"/>
      <c r="DS11" s="5"/>
      <c r="DT11" s="5"/>
      <c r="DU11" s="5"/>
      <c r="DV11" s="5"/>
      <c r="DW11" s="5"/>
      <c r="DX11" s="5"/>
      <c r="DY11" s="5"/>
      <c r="DZ11" s="27"/>
      <c r="EA11" s="109"/>
    </row>
    <row r="12" spans="1:131" s="1" customFormat="1" x14ac:dyDescent="0.25">
      <c r="A12" s="8" t="s">
        <v>164</v>
      </c>
      <c r="B12" s="459" t="s">
        <v>756</v>
      </c>
      <c r="C12" s="8" t="s">
        <v>622</v>
      </c>
      <c r="D12" s="3"/>
      <c r="E12" s="3">
        <v>105005</v>
      </c>
      <c r="F12" s="353">
        <v>6</v>
      </c>
      <c r="G12" s="359" t="s">
        <v>187</v>
      </c>
      <c r="H12" s="353">
        <v>1503</v>
      </c>
      <c r="I12" s="9" t="s">
        <v>29</v>
      </c>
      <c r="J12" s="252" t="s">
        <v>72</v>
      </c>
      <c r="K12" s="3"/>
      <c r="L12" s="11"/>
      <c r="M12" s="45"/>
      <c r="N12" s="3" t="s">
        <v>186</v>
      </c>
      <c r="O12" s="11" t="s">
        <v>187</v>
      </c>
      <c r="P12" s="3" t="s">
        <v>187</v>
      </c>
      <c r="Q12" s="3" t="s">
        <v>187</v>
      </c>
      <c r="R12" s="3">
        <v>280</v>
      </c>
      <c r="S12" s="11" t="s">
        <v>259</v>
      </c>
      <c r="T12" s="12" t="s">
        <v>26</v>
      </c>
      <c r="U12" s="12" t="s">
        <v>222</v>
      </c>
      <c r="V12" s="3"/>
      <c r="W12" s="12" t="s">
        <v>5</v>
      </c>
      <c r="X12" s="3"/>
      <c r="Y12" s="13"/>
      <c r="Z12" s="3" t="s">
        <v>92</v>
      </c>
      <c r="AA12" s="336" t="s">
        <v>699</v>
      </c>
      <c r="AB12" s="12" t="s">
        <v>697</v>
      </c>
      <c r="AC12" s="5"/>
      <c r="AD12" s="5"/>
      <c r="AE12" s="5"/>
      <c r="AF12" s="5"/>
      <c r="AG12" s="7"/>
      <c r="AH12" s="7"/>
      <c r="AI12" s="7"/>
      <c r="AJ12" s="62"/>
      <c r="AK12" s="7"/>
      <c r="AL12" s="33">
        <v>2996498</v>
      </c>
      <c r="AM12" s="33">
        <f t="shared" si="0"/>
        <v>2996498</v>
      </c>
      <c r="AN12" s="33"/>
      <c r="AO12" s="7"/>
      <c r="AP12" s="7"/>
      <c r="AQ12" s="7"/>
      <c r="AR12" s="7"/>
      <c r="AS12" s="7">
        <f t="shared" si="8"/>
        <v>0</v>
      </c>
      <c r="AT12" s="7"/>
      <c r="AU12" s="7"/>
      <c r="AV12" s="7">
        <f t="shared" si="9"/>
        <v>0</v>
      </c>
      <c r="AW12" s="7">
        <v>1325.34</v>
      </c>
      <c r="AX12" s="7"/>
      <c r="AY12" s="7">
        <f t="shared" si="1"/>
        <v>1325.34</v>
      </c>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f t="shared" si="18"/>
        <v>1325.34</v>
      </c>
      <c r="BZ12" s="7">
        <f t="shared" si="19"/>
        <v>1325.34</v>
      </c>
      <c r="CA12" s="7"/>
      <c r="CB12" s="7">
        <f t="shared" si="20"/>
        <v>2995172.66</v>
      </c>
      <c r="CC12" s="7">
        <f t="shared" si="21"/>
        <v>2995172.66</v>
      </c>
      <c r="CD12" s="15">
        <f t="shared" si="22"/>
        <v>4.4229630722263119E-4</v>
      </c>
      <c r="CE12" s="294">
        <f t="shared" si="23"/>
        <v>4.4229630722263119E-4</v>
      </c>
      <c r="CF12" s="451" t="s">
        <v>685</v>
      </c>
      <c r="CG12" s="33"/>
      <c r="CH12" s="7"/>
      <c r="CI12" s="7"/>
      <c r="CJ12" s="7"/>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6"/>
      <c r="DQ12" s="6"/>
      <c r="DR12" s="7"/>
      <c r="DS12" s="5"/>
      <c r="DT12" s="5"/>
      <c r="DU12" s="5"/>
      <c r="DV12" s="5"/>
      <c r="DW12" s="5"/>
      <c r="DX12" s="5"/>
      <c r="DY12" s="5"/>
      <c r="DZ12" s="27"/>
      <c r="EA12" s="109"/>
    </row>
    <row r="13" spans="1:131" s="1" customFormat="1" x14ac:dyDescent="0.25">
      <c r="A13" s="8" t="s">
        <v>164</v>
      </c>
      <c r="B13" s="459" t="s">
        <v>757</v>
      </c>
      <c r="C13" s="8" t="s">
        <v>626</v>
      </c>
      <c r="D13" s="3"/>
      <c r="E13" s="3">
        <v>105012</v>
      </c>
      <c r="F13" s="353">
        <v>5</v>
      </c>
      <c r="G13" s="359" t="s">
        <v>186</v>
      </c>
      <c r="H13" s="353">
        <v>1504</v>
      </c>
      <c r="I13" s="9" t="s">
        <v>246</v>
      </c>
      <c r="J13" s="252" t="s">
        <v>72</v>
      </c>
      <c r="K13" s="3">
        <v>4</v>
      </c>
      <c r="L13" s="11" t="s">
        <v>187</v>
      </c>
      <c r="M13" s="45"/>
      <c r="N13" s="11" t="s">
        <v>186</v>
      </c>
      <c r="O13" s="11" t="s">
        <v>189</v>
      </c>
      <c r="P13" s="11" t="s">
        <v>187</v>
      </c>
      <c r="Q13" s="11" t="s">
        <v>187</v>
      </c>
      <c r="R13" s="3">
        <v>270</v>
      </c>
      <c r="S13" s="11" t="s">
        <v>188</v>
      </c>
      <c r="T13" s="12" t="s">
        <v>26</v>
      </c>
      <c r="U13" s="12" t="s">
        <v>222</v>
      </c>
      <c r="V13" s="3"/>
      <c r="W13" s="12" t="s">
        <v>5</v>
      </c>
      <c r="X13" s="3"/>
      <c r="Y13" s="13"/>
      <c r="Z13" s="3" t="s">
        <v>92</v>
      </c>
      <c r="AA13" s="336" t="s">
        <v>436</v>
      </c>
      <c r="AB13" s="12" t="s">
        <v>8</v>
      </c>
      <c r="AC13" s="5"/>
      <c r="AD13" s="5"/>
      <c r="AE13" s="5"/>
      <c r="AF13" s="5"/>
      <c r="AG13" s="7">
        <f>AE13+AF13</f>
        <v>0</v>
      </c>
      <c r="AH13" s="7"/>
      <c r="AI13" s="7">
        <f>+AG13+AH13</f>
        <v>0</v>
      </c>
      <c r="AJ13" s="62"/>
      <c r="AK13" s="7"/>
      <c r="AL13" s="7">
        <v>14000</v>
      </c>
      <c r="AM13" s="33">
        <f t="shared" si="0"/>
        <v>14000</v>
      </c>
      <c r="AN13" s="33"/>
      <c r="AO13" s="7"/>
      <c r="AP13" s="7">
        <f>AN13+AO13</f>
        <v>0</v>
      </c>
      <c r="AQ13" s="7"/>
      <c r="AR13" s="7"/>
      <c r="AS13" s="7">
        <f t="shared" si="8"/>
        <v>0</v>
      </c>
      <c r="AT13" s="7"/>
      <c r="AU13" s="7"/>
      <c r="AV13" s="7">
        <f t="shared" si="9"/>
        <v>0</v>
      </c>
      <c r="AW13" s="7">
        <v>7619</v>
      </c>
      <c r="AX13" s="7"/>
      <c r="AY13" s="7">
        <f t="shared" si="1"/>
        <v>7619</v>
      </c>
      <c r="AZ13" s="7"/>
      <c r="BA13" s="7"/>
      <c r="BB13" s="7">
        <f t="shared" si="10"/>
        <v>0</v>
      </c>
      <c r="BC13" s="7"/>
      <c r="BD13" s="7"/>
      <c r="BE13" s="7">
        <f t="shared" si="11"/>
        <v>0</v>
      </c>
      <c r="BF13" s="7"/>
      <c r="BG13" s="7"/>
      <c r="BH13" s="7">
        <f t="shared" si="12"/>
        <v>0</v>
      </c>
      <c r="BI13" s="7"/>
      <c r="BJ13" s="7"/>
      <c r="BK13" s="7">
        <f t="shared" si="13"/>
        <v>0</v>
      </c>
      <c r="BL13" s="7"/>
      <c r="BM13" s="7"/>
      <c r="BN13" s="7">
        <f t="shared" si="14"/>
        <v>0</v>
      </c>
      <c r="BO13" s="7"/>
      <c r="BP13" s="7"/>
      <c r="BQ13" s="7">
        <f t="shared" si="15"/>
        <v>0</v>
      </c>
      <c r="BR13" s="7"/>
      <c r="BS13" s="7"/>
      <c r="BT13" s="7">
        <f t="shared" si="16"/>
        <v>0</v>
      </c>
      <c r="BU13" s="7"/>
      <c r="BV13" s="7"/>
      <c r="BW13" s="7">
        <f t="shared" si="17"/>
        <v>0</v>
      </c>
      <c r="BX13" s="7"/>
      <c r="BY13" s="7">
        <f t="shared" si="18"/>
        <v>7619</v>
      </c>
      <c r="BZ13" s="7">
        <f t="shared" si="19"/>
        <v>7619</v>
      </c>
      <c r="CA13" s="7"/>
      <c r="CB13" s="7">
        <f t="shared" si="20"/>
        <v>6381</v>
      </c>
      <c r="CC13" s="7">
        <f t="shared" si="21"/>
        <v>6381</v>
      </c>
      <c r="CD13" s="15">
        <f t="shared" si="22"/>
        <v>0.54421428571428576</v>
      </c>
      <c r="CE13" s="294">
        <f t="shared" si="23"/>
        <v>0.54421428571428576</v>
      </c>
      <c r="CF13" s="451" t="s">
        <v>835</v>
      </c>
      <c r="CG13" s="33"/>
      <c r="CH13" s="7"/>
      <c r="CI13" s="7"/>
      <c r="CJ13" s="7"/>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6"/>
      <c r="DQ13" s="6"/>
      <c r="DR13" s="7"/>
      <c r="DS13" s="5"/>
      <c r="DT13" s="5"/>
      <c r="DU13" s="5"/>
      <c r="DV13" s="5"/>
      <c r="DW13" s="5"/>
      <c r="DX13" s="5"/>
      <c r="DY13" s="5"/>
      <c r="DZ13" s="27"/>
      <c r="EA13" s="109"/>
    </row>
    <row r="14" spans="1:131" s="1" customFormat="1" x14ac:dyDescent="0.25">
      <c r="A14" s="8" t="s">
        <v>164</v>
      </c>
      <c r="B14" s="459" t="s">
        <v>755</v>
      </c>
      <c r="C14" s="8" t="s">
        <v>623</v>
      </c>
      <c r="D14" s="3"/>
      <c r="E14" s="3">
        <v>120005</v>
      </c>
      <c r="F14" s="353">
        <v>6</v>
      </c>
      <c r="G14" s="359">
        <v>83</v>
      </c>
      <c r="H14" s="353">
        <v>1501</v>
      </c>
      <c r="I14" s="9" t="s">
        <v>29</v>
      </c>
      <c r="J14" s="10" t="s">
        <v>13</v>
      </c>
      <c r="K14" s="3"/>
      <c r="L14" s="11"/>
      <c r="M14" s="45"/>
      <c r="N14" s="3" t="s">
        <v>186</v>
      </c>
      <c r="O14" s="11" t="s">
        <v>187</v>
      </c>
      <c r="P14" s="3" t="s">
        <v>187</v>
      </c>
      <c r="Q14" s="3" t="s">
        <v>187</v>
      </c>
      <c r="R14" s="3">
        <v>312</v>
      </c>
      <c r="S14" s="11" t="s">
        <v>259</v>
      </c>
      <c r="T14" s="12" t="s">
        <v>89</v>
      </c>
      <c r="U14" s="12" t="s">
        <v>222</v>
      </c>
      <c r="V14" s="3"/>
      <c r="W14" s="12" t="s">
        <v>5</v>
      </c>
      <c r="X14" s="3"/>
      <c r="Y14" s="13"/>
      <c r="Z14" s="3"/>
      <c r="AA14" s="336" t="s">
        <v>700</v>
      </c>
      <c r="AB14" s="12" t="s">
        <v>701</v>
      </c>
      <c r="AC14" s="5"/>
      <c r="AD14" s="5"/>
      <c r="AE14" s="5"/>
      <c r="AF14" s="5"/>
      <c r="AG14" s="7"/>
      <c r="AH14" s="7"/>
      <c r="AI14" s="7"/>
      <c r="AJ14" s="62"/>
      <c r="AK14" s="7"/>
      <c r="AL14" s="7">
        <v>458860</v>
      </c>
      <c r="AM14" s="33">
        <f t="shared" si="0"/>
        <v>458860</v>
      </c>
      <c r="AN14" s="33"/>
      <c r="AO14" s="7"/>
      <c r="AP14" s="7"/>
      <c r="AQ14" s="7"/>
      <c r="AR14" s="7"/>
      <c r="AS14" s="7">
        <f t="shared" si="8"/>
        <v>0</v>
      </c>
      <c r="AT14" s="7"/>
      <c r="AU14" s="7"/>
      <c r="AV14" s="7">
        <f t="shared" si="9"/>
        <v>0</v>
      </c>
      <c r="AW14" s="7"/>
      <c r="AX14" s="7"/>
      <c r="AY14" s="7">
        <f t="shared" si="1"/>
        <v>0</v>
      </c>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f t="shared" si="18"/>
        <v>0</v>
      </c>
      <c r="BZ14" s="7">
        <f t="shared" si="19"/>
        <v>0</v>
      </c>
      <c r="CA14" s="7"/>
      <c r="CB14" s="7">
        <f>AM14-BY14</f>
        <v>458860</v>
      </c>
      <c r="CC14" s="7">
        <f t="shared" si="21"/>
        <v>458860</v>
      </c>
      <c r="CD14" s="15">
        <f t="shared" si="22"/>
        <v>0</v>
      </c>
      <c r="CE14" s="294">
        <f t="shared" si="23"/>
        <v>0</v>
      </c>
      <c r="CF14" s="451" t="s">
        <v>836</v>
      </c>
      <c r="CG14" s="33"/>
      <c r="CH14" s="7"/>
      <c r="CI14" s="7"/>
      <c r="CJ14" s="7"/>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6"/>
      <c r="DQ14" s="6"/>
      <c r="DR14" s="7"/>
      <c r="DS14" s="5"/>
      <c r="DT14" s="5"/>
      <c r="DU14" s="5"/>
      <c r="DV14" s="5"/>
      <c r="DW14" s="5"/>
      <c r="DX14" s="5"/>
      <c r="DY14" s="5"/>
      <c r="DZ14" s="27"/>
      <c r="EA14" s="109"/>
    </row>
    <row r="15" spans="1:131" s="1" customFormat="1" x14ac:dyDescent="0.25">
      <c r="A15" s="8" t="s">
        <v>164</v>
      </c>
      <c r="B15" s="459" t="s">
        <v>800</v>
      </c>
      <c r="C15" s="8" t="s">
        <v>626</v>
      </c>
      <c r="D15" s="3"/>
      <c r="E15" s="3">
        <v>120010</v>
      </c>
      <c r="F15" s="353">
        <v>5</v>
      </c>
      <c r="G15" s="359" t="s">
        <v>186</v>
      </c>
      <c r="H15" s="353">
        <v>1528</v>
      </c>
      <c r="I15" s="9" t="s">
        <v>246</v>
      </c>
      <c r="J15" s="10" t="s">
        <v>72</v>
      </c>
      <c r="K15" s="3">
        <v>5</v>
      </c>
      <c r="L15" s="11" t="s">
        <v>186</v>
      </c>
      <c r="M15" s="45"/>
      <c r="N15" s="3" t="s">
        <v>186</v>
      </c>
      <c r="O15" s="11" t="s">
        <v>189</v>
      </c>
      <c r="P15" s="3" t="s">
        <v>187</v>
      </c>
      <c r="Q15" s="3" t="s">
        <v>187</v>
      </c>
      <c r="R15" s="3">
        <v>270</v>
      </c>
      <c r="S15" s="11" t="s">
        <v>188</v>
      </c>
      <c r="T15" s="12" t="s">
        <v>26</v>
      </c>
      <c r="U15" s="12" t="s">
        <v>222</v>
      </c>
      <c r="V15" s="3"/>
      <c r="W15" s="12" t="s">
        <v>5</v>
      </c>
      <c r="X15" s="3"/>
      <c r="Y15" s="13"/>
      <c r="Z15" s="3" t="s">
        <v>92</v>
      </c>
      <c r="AA15" s="336" t="s">
        <v>802</v>
      </c>
      <c r="AB15" s="12" t="s">
        <v>8</v>
      </c>
      <c r="AC15" s="5"/>
      <c r="AD15" s="5"/>
      <c r="AE15" s="5"/>
      <c r="AF15" s="5"/>
      <c r="AG15" s="7"/>
      <c r="AH15" s="7"/>
      <c r="AI15" s="7"/>
      <c r="AJ15" s="62"/>
      <c r="AK15" s="7"/>
      <c r="AL15" s="7"/>
      <c r="AM15" s="33">
        <v>22500</v>
      </c>
      <c r="AN15" s="33"/>
      <c r="AO15" s="7"/>
      <c r="AP15" s="7"/>
      <c r="AQ15" s="7"/>
      <c r="AR15" s="7"/>
      <c r="AS15" s="7"/>
      <c r="AT15" s="7"/>
      <c r="AU15" s="7"/>
      <c r="AV15" s="7"/>
      <c r="AW15" s="7"/>
      <c r="AX15" s="7"/>
      <c r="AY15" s="7">
        <f t="shared" si="1"/>
        <v>0</v>
      </c>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f t="shared" si="18"/>
        <v>0</v>
      </c>
      <c r="BZ15" s="7">
        <f t="shared" si="19"/>
        <v>0</v>
      </c>
      <c r="CA15" s="7"/>
      <c r="CB15" s="7">
        <f>AM15-BY15</f>
        <v>22500</v>
      </c>
      <c r="CC15" s="7">
        <f t="shared" si="21"/>
        <v>22500</v>
      </c>
      <c r="CD15" s="15">
        <f t="shared" si="22"/>
        <v>0</v>
      </c>
      <c r="CE15" s="294">
        <f t="shared" si="23"/>
        <v>0</v>
      </c>
      <c r="CF15" s="451" t="s">
        <v>685</v>
      </c>
      <c r="CG15" s="33"/>
      <c r="CH15" s="7"/>
      <c r="CI15" s="7"/>
      <c r="CJ15" s="7"/>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6"/>
      <c r="DQ15" s="6"/>
      <c r="DR15" s="7"/>
      <c r="DS15" s="5"/>
      <c r="DT15" s="5"/>
      <c r="DU15" s="5"/>
      <c r="DV15" s="5"/>
      <c r="DW15" s="5"/>
      <c r="DX15" s="5"/>
      <c r="DY15" s="5"/>
      <c r="DZ15" s="27"/>
      <c r="EA15" s="109"/>
    </row>
    <row r="16" spans="1:131" s="1" customFormat="1" ht="16.5" thickBot="1" x14ac:dyDescent="0.3">
      <c r="A16" s="8" t="s">
        <v>164</v>
      </c>
      <c r="B16" s="435" t="s">
        <v>693</v>
      </c>
      <c r="C16" s="430" t="s">
        <v>626</v>
      </c>
      <c r="D16" s="431"/>
      <c r="E16" s="431">
        <v>130005</v>
      </c>
      <c r="F16" s="353">
        <v>5</v>
      </c>
      <c r="G16" s="432" t="s">
        <v>186</v>
      </c>
      <c r="H16" s="353">
        <v>1514</v>
      </c>
      <c r="I16" s="9" t="s">
        <v>246</v>
      </c>
      <c r="J16" s="252" t="s">
        <v>72</v>
      </c>
      <c r="K16" s="3">
        <v>4</v>
      </c>
      <c r="L16" s="11" t="s">
        <v>187</v>
      </c>
      <c r="M16" s="45"/>
      <c r="N16" s="11" t="s">
        <v>186</v>
      </c>
      <c r="O16" s="11" t="s">
        <v>189</v>
      </c>
      <c r="P16" s="11" t="s">
        <v>187</v>
      </c>
      <c r="Q16" s="11" t="s">
        <v>187</v>
      </c>
      <c r="R16" s="3">
        <v>270</v>
      </c>
      <c r="S16" s="11" t="s">
        <v>188</v>
      </c>
      <c r="T16" s="12" t="s">
        <v>26</v>
      </c>
      <c r="U16" s="12" t="s">
        <v>222</v>
      </c>
      <c r="V16" s="3"/>
      <c r="W16" s="12" t="s">
        <v>5</v>
      </c>
      <c r="X16" s="3"/>
      <c r="Y16" s="426" t="s">
        <v>100</v>
      </c>
      <c r="Z16" s="3" t="s">
        <v>92</v>
      </c>
      <c r="AA16" s="336" t="s">
        <v>436</v>
      </c>
      <c r="AB16" s="12" t="s">
        <v>8</v>
      </c>
      <c r="AC16" s="5"/>
      <c r="AD16" s="5"/>
      <c r="AE16" s="5"/>
      <c r="AF16" s="5"/>
      <c r="AG16" s="433"/>
      <c r="AH16" s="7"/>
      <c r="AI16" s="433"/>
      <c r="AJ16" s="62"/>
      <c r="AK16" s="7"/>
      <c r="AL16" s="7">
        <v>55000</v>
      </c>
      <c r="AM16" s="33">
        <f t="shared" si="0"/>
        <v>55000</v>
      </c>
      <c r="AN16" s="33"/>
      <c r="AO16" s="7"/>
      <c r="AP16" s="7"/>
      <c r="AQ16" s="7"/>
      <c r="AR16" s="7"/>
      <c r="AS16" s="7">
        <f t="shared" si="8"/>
        <v>0</v>
      </c>
      <c r="AT16" s="7"/>
      <c r="AU16" s="7"/>
      <c r="AV16" s="7">
        <f t="shared" si="9"/>
        <v>0</v>
      </c>
      <c r="AW16" s="7"/>
      <c r="AX16" s="7"/>
      <c r="AY16" s="7">
        <f t="shared" si="1"/>
        <v>0</v>
      </c>
      <c r="AZ16" s="7"/>
      <c r="BA16" s="7"/>
      <c r="BB16" s="7">
        <f t="shared" si="10"/>
        <v>0</v>
      </c>
      <c r="BC16" s="7"/>
      <c r="BD16" s="7"/>
      <c r="BE16" s="7">
        <f t="shared" si="11"/>
        <v>0</v>
      </c>
      <c r="BF16" s="7"/>
      <c r="BG16" s="7"/>
      <c r="BH16" s="7">
        <f t="shared" si="12"/>
        <v>0</v>
      </c>
      <c r="BI16" s="7"/>
      <c r="BJ16" s="7"/>
      <c r="BK16" s="7">
        <f t="shared" si="13"/>
        <v>0</v>
      </c>
      <c r="BL16" s="7"/>
      <c r="BM16" s="7"/>
      <c r="BN16" s="7">
        <f t="shared" si="14"/>
        <v>0</v>
      </c>
      <c r="BO16" s="7"/>
      <c r="BP16" s="7"/>
      <c r="BQ16" s="7">
        <f t="shared" si="15"/>
        <v>0</v>
      </c>
      <c r="BR16" s="7"/>
      <c r="BS16" s="7"/>
      <c r="BT16" s="7">
        <f t="shared" si="16"/>
        <v>0</v>
      </c>
      <c r="BU16" s="7"/>
      <c r="BV16" s="7"/>
      <c r="BW16" s="7">
        <f t="shared" si="17"/>
        <v>0</v>
      </c>
      <c r="BX16" s="7">
        <v>0</v>
      </c>
      <c r="BY16" s="7">
        <f t="shared" si="18"/>
        <v>0</v>
      </c>
      <c r="BZ16" s="7">
        <f t="shared" si="19"/>
        <v>0</v>
      </c>
      <c r="CA16" s="7"/>
      <c r="CB16" s="7">
        <f t="shared" si="20"/>
        <v>55000</v>
      </c>
      <c r="CC16" s="7">
        <f t="shared" si="21"/>
        <v>55000</v>
      </c>
      <c r="CD16" s="15">
        <f t="shared" si="22"/>
        <v>0</v>
      </c>
      <c r="CE16" s="294">
        <f t="shared" si="23"/>
        <v>0</v>
      </c>
      <c r="CF16" s="451" t="s">
        <v>685</v>
      </c>
      <c r="CG16" s="33"/>
      <c r="CH16" s="7"/>
      <c r="CI16" s="7"/>
      <c r="CJ16" s="7"/>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6"/>
      <c r="DQ16" s="6"/>
      <c r="DR16" s="7"/>
      <c r="DS16" s="5"/>
      <c r="DT16" s="5"/>
      <c r="DU16" s="5"/>
      <c r="DV16" s="5"/>
      <c r="DW16" s="5"/>
      <c r="DX16" s="5"/>
      <c r="DY16" s="5"/>
      <c r="DZ16" s="27"/>
      <c r="EA16" s="109"/>
    </row>
    <row r="17" spans="1:131" s="1" customFormat="1" ht="17.25" thickTop="1" thickBot="1" x14ac:dyDescent="0.3">
      <c r="A17" s="427"/>
      <c r="B17" s="428"/>
      <c r="C17" s="429"/>
      <c r="D17" s="428"/>
      <c r="E17" s="428"/>
      <c r="F17" s="425"/>
      <c r="G17" s="425"/>
      <c r="H17" s="16"/>
      <c r="I17" s="16"/>
      <c r="J17" s="17"/>
      <c r="K17" s="16"/>
      <c r="L17" s="425"/>
      <c r="M17" s="57"/>
      <c r="N17" s="425"/>
      <c r="O17" s="425"/>
      <c r="P17" s="28"/>
      <c r="Q17" s="28"/>
      <c r="R17" s="28"/>
      <c r="S17" s="28"/>
      <c r="T17" s="28"/>
      <c r="U17" s="28"/>
      <c r="V17" s="16"/>
      <c r="W17" s="28"/>
      <c r="X17" s="16"/>
      <c r="Y17" s="28"/>
      <c r="Z17" s="28"/>
      <c r="AA17" s="55" t="s">
        <v>60</v>
      </c>
      <c r="AB17" s="19"/>
      <c r="AC17" s="20" t="e">
        <f>SUM(#REF!)</f>
        <v>#REF!</v>
      </c>
      <c r="AD17" s="20" t="e">
        <f>SUM(#REF!)</f>
        <v>#REF!</v>
      </c>
      <c r="AE17" s="20" t="e">
        <f>SUM(#REF!)</f>
        <v>#REF!</v>
      </c>
      <c r="AF17" s="20" t="e">
        <f>SUM(#REF!)</f>
        <v>#REF!</v>
      </c>
      <c r="AG17" s="7" t="e">
        <f t="shared" ref="AG17:AG104" si="24">AE17+AF17</f>
        <v>#REF!</v>
      </c>
      <c r="AH17" s="20">
        <f>SUM(AH7:AH7)</f>
        <v>0</v>
      </c>
      <c r="AI17" s="434" t="e">
        <f t="shared" ref="AI17:AI104" si="25">+AG17+AH17</f>
        <v>#REF!</v>
      </c>
      <c r="AJ17" s="407">
        <f>SUM(AJ7:AJ7)</f>
        <v>0</v>
      </c>
      <c r="AK17" s="20">
        <f t="shared" ref="AK17:CA17" si="26">SUM(AK7:AK16)</f>
        <v>500000</v>
      </c>
      <c r="AL17" s="20">
        <f t="shared" si="26"/>
        <v>6298257</v>
      </c>
      <c r="AM17" s="20">
        <f t="shared" si="26"/>
        <v>6846757</v>
      </c>
      <c r="AN17" s="20">
        <f t="shared" si="26"/>
        <v>0</v>
      </c>
      <c r="AO17" s="20">
        <f t="shared" si="26"/>
        <v>0</v>
      </c>
      <c r="AP17" s="20">
        <f t="shared" si="26"/>
        <v>0</v>
      </c>
      <c r="AQ17" s="20">
        <f t="shared" si="26"/>
        <v>0</v>
      </c>
      <c r="AR17" s="20">
        <f t="shared" si="26"/>
        <v>0</v>
      </c>
      <c r="AS17" s="20">
        <f t="shared" si="26"/>
        <v>0</v>
      </c>
      <c r="AT17" s="20">
        <f t="shared" si="26"/>
        <v>0</v>
      </c>
      <c r="AU17" s="20">
        <f t="shared" si="26"/>
        <v>0</v>
      </c>
      <c r="AV17" s="20">
        <f t="shared" si="26"/>
        <v>0</v>
      </c>
      <c r="AW17" s="20">
        <f t="shared" si="26"/>
        <v>287453.11000000004</v>
      </c>
      <c r="AX17" s="20">
        <f t="shared" si="26"/>
        <v>0</v>
      </c>
      <c r="AY17" s="20">
        <f t="shared" si="1"/>
        <v>287453.11000000004</v>
      </c>
      <c r="AZ17" s="20">
        <f t="shared" si="26"/>
        <v>0</v>
      </c>
      <c r="BA17" s="20">
        <f t="shared" si="26"/>
        <v>0</v>
      </c>
      <c r="BB17" s="20">
        <f t="shared" si="26"/>
        <v>0</v>
      </c>
      <c r="BC17" s="20">
        <f t="shared" si="26"/>
        <v>0</v>
      </c>
      <c r="BD17" s="20">
        <f t="shared" si="26"/>
        <v>0</v>
      </c>
      <c r="BE17" s="20">
        <f t="shared" si="26"/>
        <v>0</v>
      </c>
      <c r="BF17" s="20">
        <f t="shared" si="26"/>
        <v>0</v>
      </c>
      <c r="BG17" s="20">
        <f t="shared" si="26"/>
        <v>0</v>
      </c>
      <c r="BH17" s="20">
        <f t="shared" si="26"/>
        <v>0</v>
      </c>
      <c r="BI17" s="20">
        <f t="shared" si="26"/>
        <v>0</v>
      </c>
      <c r="BJ17" s="20">
        <f t="shared" si="26"/>
        <v>0</v>
      </c>
      <c r="BK17" s="20">
        <f t="shared" si="26"/>
        <v>0</v>
      </c>
      <c r="BL17" s="20">
        <f t="shared" si="26"/>
        <v>0</v>
      </c>
      <c r="BM17" s="20">
        <f t="shared" si="26"/>
        <v>0</v>
      </c>
      <c r="BN17" s="20">
        <f t="shared" si="26"/>
        <v>0</v>
      </c>
      <c r="BO17" s="20">
        <f t="shared" si="26"/>
        <v>0</v>
      </c>
      <c r="BP17" s="20">
        <f t="shared" si="26"/>
        <v>0</v>
      </c>
      <c r="BQ17" s="20">
        <f t="shared" si="26"/>
        <v>0</v>
      </c>
      <c r="BR17" s="20">
        <f t="shared" si="26"/>
        <v>0</v>
      </c>
      <c r="BS17" s="20">
        <f t="shared" si="26"/>
        <v>0</v>
      </c>
      <c r="BT17" s="20">
        <f t="shared" si="26"/>
        <v>0</v>
      </c>
      <c r="BU17" s="20">
        <f t="shared" si="26"/>
        <v>0</v>
      </c>
      <c r="BV17" s="20">
        <f t="shared" si="26"/>
        <v>0</v>
      </c>
      <c r="BW17" s="20">
        <f t="shared" si="26"/>
        <v>0</v>
      </c>
      <c r="BX17" s="20">
        <f t="shared" si="26"/>
        <v>10235.219999999999</v>
      </c>
      <c r="BY17" s="20">
        <f t="shared" si="18"/>
        <v>287453.11000000004</v>
      </c>
      <c r="BZ17" s="20">
        <f t="shared" si="19"/>
        <v>287453.11000000004</v>
      </c>
      <c r="CA17" s="20">
        <f t="shared" si="26"/>
        <v>0</v>
      </c>
      <c r="CB17" s="20">
        <f t="shared" si="20"/>
        <v>6559303.8899999997</v>
      </c>
      <c r="CC17" s="20">
        <f t="shared" si="21"/>
        <v>6559303.8899999997</v>
      </c>
      <c r="CD17" s="21">
        <f t="shared" si="22"/>
        <v>4.1983834098391404E-2</v>
      </c>
      <c r="CE17" s="21">
        <f t="shared" si="23"/>
        <v>4.1983834098391404E-2</v>
      </c>
      <c r="CF17" s="451"/>
      <c r="CG17" s="20">
        <f t="shared" ref="CG17:DQ17" si="27">SUM(CG7:CG7)</f>
        <v>500000</v>
      </c>
      <c r="CH17" s="20">
        <f t="shared" si="27"/>
        <v>500000</v>
      </c>
      <c r="CI17" s="20">
        <f t="shared" si="27"/>
        <v>0</v>
      </c>
      <c r="CJ17" s="20">
        <f t="shared" si="27"/>
        <v>0</v>
      </c>
      <c r="CK17" s="20">
        <f t="shared" si="27"/>
        <v>0</v>
      </c>
      <c r="CL17" s="20">
        <f t="shared" si="27"/>
        <v>0</v>
      </c>
      <c r="CM17" s="20">
        <f t="shared" si="27"/>
        <v>0</v>
      </c>
      <c r="CN17" s="20">
        <f t="shared" si="27"/>
        <v>0</v>
      </c>
      <c r="CO17" s="20">
        <f t="shared" si="27"/>
        <v>0</v>
      </c>
      <c r="CP17" s="20">
        <f t="shared" si="27"/>
        <v>0</v>
      </c>
      <c r="CQ17" s="20">
        <f t="shared" si="27"/>
        <v>0</v>
      </c>
      <c r="CR17" s="20">
        <f t="shared" si="27"/>
        <v>0</v>
      </c>
      <c r="CS17" s="20">
        <f t="shared" si="27"/>
        <v>0</v>
      </c>
      <c r="CT17" s="20">
        <f t="shared" si="27"/>
        <v>0</v>
      </c>
      <c r="CU17" s="20">
        <f t="shared" si="27"/>
        <v>0</v>
      </c>
      <c r="CV17" s="20">
        <f t="shared" si="27"/>
        <v>0</v>
      </c>
      <c r="CW17" s="20">
        <f t="shared" si="27"/>
        <v>0</v>
      </c>
      <c r="CX17" s="20">
        <f t="shared" si="27"/>
        <v>0</v>
      </c>
      <c r="CY17" s="20">
        <f t="shared" si="27"/>
        <v>0</v>
      </c>
      <c r="CZ17" s="20">
        <f t="shared" si="27"/>
        <v>0</v>
      </c>
      <c r="DA17" s="20">
        <f t="shared" si="27"/>
        <v>0</v>
      </c>
      <c r="DB17" s="20">
        <f t="shared" si="27"/>
        <v>0</v>
      </c>
      <c r="DC17" s="20">
        <f t="shared" si="27"/>
        <v>0</v>
      </c>
      <c r="DD17" s="20">
        <f t="shared" si="27"/>
        <v>0</v>
      </c>
      <c r="DE17" s="20">
        <f t="shared" si="27"/>
        <v>0</v>
      </c>
      <c r="DF17" s="20">
        <f t="shared" si="27"/>
        <v>0</v>
      </c>
      <c r="DG17" s="20">
        <f t="shared" si="27"/>
        <v>0</v>
      </c>
      <c r="DH17" s="20">
        <f t="shared" si="27"/>
        <v>0</v>
      </c>
      <c r="DI17" s="20">
        <f t="shared" si="27"/>
        <v>0</v>
      </c>
      <c r="DJ17" s="20">
        <f t="shared" si="27"/>
        <v>0</v>
      </c>
      <c r="DK17" s="20">
        <f t="shared" si="27"/>
        <v>0</v>
      </c>
      <c r="DL17" s="20">
        <f t="shared" si="27"/>
        <v>0</v>
      </c>
      <c r="DM17" s="20">
        <f t="shared" si="27"/>
        <v>0</v>
      </c>
      <c r="DN17" s="20">
        <f t="shared" si="27"/>
        <v>0</v>
      </c>
      <c r="DO17" s="20">
        <f t="shared" si="27"/>
        <v>0</v>
      </c>
      <c r="DP17" s="20">
        <f t="shared" si="27"/>
        <v>0</v>
      </c>
      <c r="DQ17" s="20">
        <f t="shared" si="27"/>
        <v>0</v>
      </c>
      <c r="DR17" s="20" t="e">
        <f>SUM(#REF!)</f>
        <v>#REF!</v>
      </c>
      <c r="DS17" s="20" t="e">
        <f>SUM(#REF!)</f>
        <v>#REF!</v>
      </c>
      <c r="DT17" s="20" t="e">
        <f>SUM(#REF!)</f>
        <v>#REF!</v>
      </c>
      <c r="DU17" s="21" t="e">
        <f>DP17/AG17</f>
        <v>#REF!</v>
      </c>
      <c r="DV17" s="21" t="e">
        <f>DQ17/AG17</f>
        <v>#REF!</v>
      </c>
      <c r="DW17" s="21"/>
      <c r="DX17" s="21"/>
      <c r="DY17" s="20">
        <f>SUM(DY7:DY7)</f>
        <v>0</v>
      </c>
      <c r="DZ17" s="42"/>
      <c r="EA17" s="109"/>
    </row>
    <row r="18" spans="1:131" s="1" customFormat="1" ht="16.5" thickTop="1" x14ac:dyDescent="0.25">
      <c r="A18" s="3"/>
      <c r="B18" s="3"/>
      <c r="C18" s="3"/>
      <c r="D18" s="3"/>
      <c r="E18" s="3"/>
      <c r="F18" s="3"/>
      <c r="G18" s="3"/>
      <c r="H18" s="3"/>
      <c r="I18" s="3"/>
      <c r="J18" s="4"/>
      <c r="K18" s="3"/>
      <c r="L18" s="3"/>
      <c r="M18" s="45"/>
      <c r="N18" s="3"/>
      <c r="O18" s="3"/>
      <c r="P18" s="3"/>
      <c r="Q18" s="3"/>
      <c r="R18" s="3"/>
      <c r="S18" s="3"/>
      <c r="T18" s="3"/>
      <c r="U18" s="3"/>
      <c r="V18" s="3"/>
      <c r="W18" s="3"/>
      <c r="X18" s="3"/>
      <c r="Y18" s="3"/>
      <c r="Z18" s="3"/>
      <c r="AA18" s="423"/>
      <c r="AB18" s="336"/>
      <c r="AC18" s="7"/>
      <c r="AD18" s="7"/>
      <c r="AE18" s="7"/>
      <c r="AF18" s="7"/>
      <c r="AG18" s="7">
        <f t="shared" si="24"/>
        <v>0</v>
      </c>
      <c r="AH18" s="7"/>
      <c r="AI18" s="7">
        <f t="shared" si="25"/>
        <v>0</v>
      </c>
      <c r="AJ18" s="62"/>
      <c r="AK18" s="7"/>
      <c r="AL18" s="33"/>
      <c r="AM18" s="33"/>
      <c r="AN18" s="33"/>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15"/>
      <c r="CE18" s="15"/>
      <c r="CF18" s="451"/>
      <c r="CG18" s="7"/>
      <c r="CH18" s="7"/>
      <c r="CI18" s="7"/>
      <c r="CJ18" s="7"/>
      <c r="CK18" s="7"/>
      <c r="CL18" s="7"/>
      <c r="CM18" s="7"/>
      <c r="CN18" s="7"/>
      <c r="CO18" s="7"/>
      <c r="CP18" s="7"/>
      <c r="CQ18" s="7"/>
      <c r="CR18" s="7"/>
      <c r="CS18" s="7"/>
      <c r="CT18" s="7"/>
      <c r="CU18" s="7"/>
      <c r="CV18" s="7"/>
      <c r="CW18" s="7"/>
      <c r="CX18" s="7"/>
      <c r="CY18" s="7"/>
      <c r="CZ18" s="7"/>
      <c r="DA18" s="7"/>
      <c r="DB18" s="7"/>
      <c r="DC18" s="7"/>
      <c r="DD18" s="7">
        <f>DC18</f>
        <v>0</v>
      </c>
      <c r="DE18" s="7"/>
      <c r="DF18" s="7">
        <f>DE18</f>
        <v>0</v>
      </c>
      <c r="DG18" s="7"/>
      <c r="DH18" s="7">
        <f>DG18</f>
        <v>0</v>
      </c>
      <c r="DI18" s="7"/>
      <c r="DJ18" s="7">
        <f>DI18</f>
        <v>0</v>
      </c>
      <c r="DK18" s="7"/>
      <c r="DL18" s="7">
        <f>DK18</f>
        <v>0</v>
      </c>
      <c r="DM18" s="7"/>
      <c r="DN18" s="7">
        <f>DM18</f>
        <v>0</v>
      </c>
      <c r="DO18" s="7"/>
      <c r="DP18" s="14"/>
      <c r="DQ18" s="14"/>
      <c r="DR18" s="7"/>
      <c r="DS18" s="7"/>
      <c r="DT18" s="7"/>
      <c r="DU18" s="15"/>
      <c r="DV18" s="15"/>
      <c r="DW18" s="15"/>
      <c r="DX18" s="15"/>
      <c r="DY18" s="7"/>
      <c r="DZ18" s="27"/>
      <c r="EA18" s="109"/>
    </row>
    <row r="19" spans="1:131" s="1" customFormat="1" x14ac:dyDescent="0.25">
      <c r="A19" s="22" t="s">
        <v>135</v>
      </c>
      <c r="B19" s="23"/>
      <c r="C19" s="22"/>
      <c r="D19" s="23"/>
      <c r="E19" s="3"/>
      <c r="F19" s="3"/>
      <c r="G19" s="3"/>
      <c r="H19" s="3"/>
      <c r="I19" s="12"/>
      <c r="J19" s="24"/>
      <c r="K19" s="3"/>
      <c r="L19" s="3"/>
      <c r="M19" s="45"/>
      <c r="N19" s="3"/>
      <c r="O19" s="3"/>
      <c r="P19" s="3"/>
      <c r="Q19" s="3"/>
      <c r="R19" s="3"/>
      <c r="S19" s="3"/>
      <c r="T19" s="12"/>
      <c r="U19" s="12"/>
      <c r="V19" s="12"/>
      <c r="W19" s="12"/>
      <c r="X19" s="12"/>
      <c r="Y19" s="25"/>
      <c r="Z19" s="421"/>
      <c r="AA19" s="424" t="s">
        <v>689</v>
      </c>
      <c r="AB19" s="9"/>
      <c r="AC19" s="7"/>
      <c r="AD19" s="7"/>
      <c r="AE19" s="7"/>
      <c r="AF19" s="7"/>
      <c r="AG19" s="7">
        <f t="shared" si="24"/>
        <v>0</v>
      </c>
      <c r="AH19" s="7"/>
      <c r="AI19" s="7">
        <f t="shared" si="25"/>
        <v>0</v>
      </c>
      <c r="AJ19" s="62"/>
      <c r="AK19" s="7"/>
      <c r="AL19" s="33"/>
      <c r="AM19" s="33"/>
      <c r="AN19" s="33"/>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15"/>
      <c r="CE19" s="15"/>
      <c r="CF19" s="451"/>
      <c r="CG19" s="7"/>
      <c r="CH19" s="7"/>
      <c r="CI19" s="7"/>
      <c r="CJ19" s="7"/>
      <c r="CK19" s="7"/>
      <c r="CL19" s="7"/>
      <c r="CM19" s="7"/>
      <c r="CN19" s="7"/>
      <c r="CO19" s="7"/>
      <c r="CP19" s="7"/>
      <c r="CQ19" s="7"/>
      <c r="CR19" s="7"/>
      <c r="CS19" s="7"/>
      <c r="CT19" s="7"/>
      <c r="CU19" s="7"/>
      <c r="CV19" s="7"/>
      <c r="CW19" s="7"/>
      <c r="CX19" s="7"/>
      <c r="CY19" s="7"/>
      <c r="CZ19" s="7"/>
      <c r="DA19" s="7"/>
      <c r="DB19" s="7"/>
      <c r="DC19" s="7"/>
      <c r="DD19" s="7">
        <f>DC19</f>
        <v>0</v>
      </c>
      <c r="DE19" s="7"/>
      <c r="DF19" s="7">
        <f>DE19</f>
        <v>0</v>
      </c>
      <c r="DG19" s="7"/>
      <c r="DH19" s="7">
        <f>DG19</f>
        <v>0</v>
      </c>
      <c r="DI19" s="7"/>
      <c r="DJ19" s="7">
        <f>DI19</f>
        <v>0</v>
      </c>
      <c r="DK19" s="7"/>
      <c r="DL19" s="7">
        <f>DK19</f>
        <v>0</v>
      </c>
      <c r="DM19" s="7"/>
      <c r="DN19" s="7">
        <f>DM19</f>
        <v>0</v>
      </c>
      <c r="DO19" s="7"/>
      <c r="DP19" s="14"/>
      <c r="DQ19" s="14"/>
      <c r="DR19" s="7"/>
      <c r="DS19" s="7"/>
      <c r="DT19" s="7"/>
      <c r="DU19" s="15"/>
      <c r="DV19" s="15"/>
      <c r="DW19" s="15"/>
      <c r="DX19" s="15"/>
      <c r="DY19" s="7"/>
      <c r="DZ19" s="27"/>
      <c r="EA19" s="109"/>
    </row>
    <row r="20" spans="1:131" s="1" customFormat="1" x14ac:dyDescent="0.25">
      <c r="A20" s="8" t="s">
        <v>136</v>
      </c>
      <c r="B20" s="8" t="s">
        <v>136</v>
      </c>
      <c r="C20" s="8" t="s">
        <v>225</v>
      </c>
      <c r="D20" s="8"/>
      <c r="E20" s="26">
        <v>205005</v>
      </c>
      <c r="F20" s="354" t="s">
        <v>583</v>
      </c>
      <c r="G20" s="354" t="s">
        <v>587</v>
      </c>
      <c r="H20" s="354" t="s">
        <v>586</v>
      </c>
      <c r="I20" s="9" t="s">
        <v>29</v>
      </c>
      <c r="J20" s="10" t="s">
        <v>72</v>
      </c>
      <c r="K20" s="3">
        <v>4</v>
      </c>
      <c r="L20" s="3">
        <v>67</v>
      </c>
      <c r="M20" s="45"/>
      <c r="N20" s="11" t="s">
        <v>186</v>
      </c>
      <c r="O20" s="11" t="s">
        <v>189</v>
      </c>
      <c r="P20" s="11" t="s">
        <v>187</v>
      </c>
      <c r="Q20" s="11" t="s">
        <v>187</v>
      </c>
      <c r="R20" s="3">
        <v>320</v>
      </c>
      <c r="S20" s="3" t="s">
        <v>188</v>
      </c>
      <c r="T20" s="12" t="s">
        <v>137</v>
      </c>
      <c r="U20" s="12" t="s">
        <v>222</v>
      </c>
      <c r="V20" s="12"/>
      <c r="W20" s="12" t="s">
        <v>36</v>
      </c>
      <c r="X20" s="8" t="s">
        <v>36</v>
      </c>
      <c r="Y20" s="25" t="s">
        <v>69</v>
      </c>
      <c r="Z20" s="3" t="s">
        <v>92</v>
      </c>
      <c r="AA20" s="9" t="s">
        <v>140</v>
      </c>
      <c r="AB20" s="9" t="s">
        <v>90</v>
      </c>
      <c r="AC20" s="27">
        <v>10000000</v>
      </c>
      <c r="AD20" s="27"/>
      <c r="AE20" s="7">
        <f>AC20+AD20</f>
        <v>10000000</v>
      </c>
      <c r="AF20" s="7"/>
      <c r="AG20" s="7">
        <f t="shared" si="24"/>
        <v>10000000</v>
      </c>
      <c r="AH20" s="7">
        <v>-10000000</v>
      </c>
      <c r="AI20" s="7">
        <f t="shared" si="25"/>
        <v>0</v>
      </c>
      <c r="AJ20" s="62"/>
      <c r="AK20" s="27">
        <v>5000000</v>
      </c>
      <c r="AL20" s="36"/>
      <c r="AM20" s="33">
        <f t="shared" ref="AM20:AM99" si="28">AK20+AL20</f>
        <v>5000000</v>
      </c>
      <c r="AN20" s="36">
        <v>0</v>
      </c>
      <c r="AO20" s="27">
        <v>0</v>
      </c>
      <c r="AP20" s="7">
        <f t="shared" ref="AP20:AP92" si="29">AN20+AO20</f>
        <v>0</v>
      </c>
      <c r="AQ20" s="27"/>
      <c r="AR20" s="27"/>
      <c r="AS20" s="7">
        <f t="shared" ref="AS20:AS92" si="30">AQ20+AR20</f>
        <v>0</v>
      </c>
      <c r="AT20" s="27">
        <v>107792</v>
      </c>
      <c r="AU20" s="27">
        <v>0</v>
      </c>
      <c r="AV20" s="7">
        <f t="shared" ref="AV20:AV92" si="31">AT20+AU20</f>
        <v>107792</v>
      </c>
      <c r="AW20" s="7">
        <v>2583366.6800000002</v>
      </c>
      <c r="AX20" s="7">
        <v>376762.21</v>
      </c>
      <c r="AY20" s="7">
        <f t="shared" si="1"/>
        <v>2960128.89</v>
      </c>
      <c r="AZ20" s="7"/>
      <c r="BA20" s="7"/>
      <c r="BB20" s="7">
        <f t="shared" ref="BB20:BB92" si="32">AZ20+BA20</f>
        <v>0</v>
      </c>
      <c r="BC20" s="7"/>
      <c r="BD20" s="7"/>
      <c r="BE20" s="7">
        <f t="shared" ref="BE20:BE92" si="33">BC20+BD20</f>
        <v>0</v>
      </c>
      <c r="BF20" s="7"/>
      <c r="BG20" s="7"/>
      <c r="BH20" s="7">
        <f t="shared" ref="BH20:BH92" si="34">BF20+BG20</f>
        <v>0</v>
      </c>
      <c r="BI20" s="7"/>
      <c r="BJ20" s="7"/>
      <c r="BK20" s="7">
        <f t="shared" ref="BK20:BK92" si="35">BI20+BJ20</f>
        <v>0</v>
      </c>
      <c r="BL20" s="7"/>
      <c r="BM20" s="7"/>
      <c r="BN20" s="7">
        <f t="shared" ref="BN20:BN92" si="36">BL20+BM20</f>
        <v>0</v>
      </c>
      <c r="BO20" s="7"/>
      <c r="BP20" s="7"/>
      <c r="BQ20" s="7">
        <f t="shared" ref="BQ20:BQ92" si="37">BO20+BP20</f>
        <v>0</v>
      </c>
      <c r="BR20" s="7"/>
      <c r="BS20" s="7"/>
      <c r="BT20" s="7">
        <f t="shared" ref="BT20:BT92" si="38">BR20+BS20</f>
        <v>0</v>
      </c>
      <c r="BU20" s="7"/>
      <c r="BV20" s="7"/>
      <c r="BW20" s="7">
        <f t="shared" ref="BW20:BW92" si="39">BU20+BV20</f>
        <v>0</v>
      </c>
      <c r="BX20" s="7">
        <v>298824.27</v>
      </c>
      <c r="BY20" s="7">
        <f t="shared" si="18"/>
        <v>2691158.68</v>
      </c>
      <c r="BZ20" s="7">
        <f t="shared" si="19"/>
        <v>3067920.89</v>
      </c>
      <c r="CA20" s="7"/>
      <c r="CB20" s="7">
        <f t="shared" si="20"/>
        <v>2308841.3199999998</v>
      </c>
      <c r="CC20" s="7">
        <f t="shared" si="21"/>
        <v>1932079.1099999999</v>
      </c>
      <c r="CD20" s="15">
        <f t="shared" si="22"/>
        <v>0.53823173600000007</v>
      </c>
      <c r="CE20" s="15">
        <f t="shared" si="23"/>
        <v>0.61358417799999998</v>
      </c>
      <c r="CF20" s="454" t="s">
        <v>837</v>
      </c>
      <c r="CG20" s="27">
        <v>16878000</v>
      </c>
      <c r="CH20" s="7">
        <v>17744000</v>
      </c>
      <c r="CI20" s="7"/>
      <c r="CJ20" s="7"/>
      <c r="CK20" s="27"/>
      <c r="CL20" s="7">
        <f>CK20</f>
        <v>0</v>
      </c>
      <c r="CM20" s="27"/>
      <c r="CN20" s="7">
        <f>CM20</f>
        <v>0</v>
      </c>
      <c r="CO20" s="27"/>
      <c r="CP20" s="27"/>
      <c r="CQ20" s="7">
        <f>CO20+CP20</f>
        <v>0</v>
      </c>
      <c r="CR20" s="7">
        <f>CK20+CM20+CO20</f>
        <v>0</v>
      </c>
      <c r="CS20" s="7">
        <f>CL20+CN20+CQ20</f>
        <v>0</v>
      </c>
      <c r="CT20" s="27"/>
      <c r="CU20" s="27"/>
      <c r="CV20" s="7">
        <f>CT20+CU20</f>
        <v>0</v>
      </c>
      <c r="CW20" s="27"/>
      <c r="CX20" s="27"/>
      <c r="CY20" s="7">
        <f>CW20+CX20</f>
        <v>0</v>
      </c>
      <c r="CZ20" s="27"/>
      <c r="DA20" s="27"/>
      <c r="DB20" s="7">
        <f>CZ20+DA20</f>
        <v>0</v>
      </c>
      <c r="DC20" s="27"/>
      <c r="DD20" s="7">
        <f>DC20</f>
        <v>0</v>
      </c>
      <c r="DE20" s="27"/>
      <c r="DF20" s="7">
        <f>DE20</f>
        <v>0</v>
      </c>
      <c r="DG20" s="27"/>
      <c r="DH20" s="7">
        <f>DG20</f>
        <v>0</v>
      </c>
      <c r="DI20" s="27"/>
      <c r="DJ20" s="7">
        <f>DI20</f>
        <v>0</v>
      </c>
      <c r="DK20" s="27"/>
      <c r="DL20" s="7">
        <f>DK20</f>
        <v>0</v>
      </c>
      <c r="DM20" s="27"/>
      <c r="DN20" s="7">
        <f>DM20</f>
        <v>0</v>
      </c>
      <c r="DO20" s="27"/>
      <c r="DP20" s="14">
        <f>CK20+CM20+CO20+CT20+CW20+CZ20+DC20+DE20+DG20+DI20+DK20+DM20</f>
        <v>0</v>
      </c>
      <c r="DQ20" s="14">
        <f>CL20+CN20+CQ20+CV20+CY20+DB20</f>
        <v>0</v>
      </c>
      <c r="DR20" s="7"/>
      <c r="DS20" s="7">
        <f>AG20-DP20</f>
        <v>10000000</v>
      </c>
      <c r="DT20" s="7">
        <f>AG20-DQ20</f>
        <v>10000000</v>
      </c>
      <c r="DU20" s="15">
        <f>DP20/AG20</f>
        <v>0</v>
      </c>
      <c r="DV20" s="15">
        <f>DQ20/AG20</f>
        <v>0</v>
      </c>
      <c r="DW20" s="15"/>
      <c r="DX20" s="15"/>
      <c r="DY20" s="7"/>
      <c r="DZ20" s="27"/>
      <c r="EA20" s="109"/>
    </row>
    <row r="21" spans="1:131" s="1" customFormat="1" x14ac:dyDescent="0.25">
      <c r="A21" s="8" t="s">
        <v>136</v>
      </c>
      <c r="B21" s="8" t="s">
        <v>136</v>
      </c>
      <c r="C21" s="8" t="s">
        <v>225</v>
      </c>
      <c r="D21" s="8"/>
      <c r="E21" s="26">
        <v>205005</v>
      </c>
      <c r="F21" s="354" t="s">
        <v>583</v>
      </c>
      <c r="G21" s="354" t="s">
        <v>187</v>
      </c>
      <c r="H21" s="354" t="s">
        <v>584</v>
      </c>
      <c r="I21" s="9" t="s">
        <v>29</v>
      </c>
      <c r="J21" s="10" t="s">
        <v>72</v>
      </c>
      <c r="K21" s="3">
        <v>4</v>
      </c>
      <c r="L21" s="11" t="s">
        <v>187</v>
      </c>
      <c r="M21" s="45"/>
      <c r="N21" s="3" t="s">
        <v>186</v>
      </c>
      <c r="O21" s="3" t="s">
        <v>189</v>
      </c>
      <c r="P21" s="3" t="s">
        <v>187</v>
      </c>
      <c r="Q21" s="3" t="s">
        <v>187</v>
      </c>
      <c r="R21" s="3">
        <v>270</v>
      </c>
      <c r="S21" s="3" t="s">
        <v>188</v>
      </c>
      <c r="T21" s="12" t="s">
        <v>26</v>
      </c>
      <c r="U21" s="12" t="s">
        <v>222</v>
      </c>
      <c r="V21" s="12"/>
      <c r="W21" s="12" t="s">
        <v>5</v>
      </c>
      <c r="X21" s="12" t="s">
        <v>107</v>
      </c>
      <c r="Y21" s="25" t="s">
        <v>99</v>
      </c>
      <c r="Z21" s="3" t="s">
        <v>92</v>
      </c>
      <c r="AA21" s="336" t="s">
        <v>293</v>
      </c>
      <c r="AB21" s="9" t="s">
        <v>8</v>
      </c>
      <c r="AC21" s="7">
        <v>250000</v>
      </c>
      <c r="AD21" s="7"/>
      <c r="AE21" s="7">
        <f>AC21+AD21</f>
        <v>250000</v>
      </c>
      <c r="AF21" s="7"/>
      <c r="AG21" s="7">
        <f t="shared" si="24"/>
        <v>250000</v>
      </c>
      <c r="AH21" s="7"/>
      <c r="AI21" s="7">
        <f t="shared" si="25"/>
        <v>250000</v>
      </c>
      <c r="AJ21" s="62"/>
      <c r="AK21" s="27">
        <v>500000</v>
      </c>
      <c r="AL21" s="36"/>
      <c r="AM21" s="33">
        <f t="shared" si="28"/>
        <v>500000</v>
      </c>
      <c r="AN21" s="36">
        <v>0</v>
      </c>
      <c r="AO21" s="27">
        <v>0</v>
      </c>
      <c r="AP21" s="7">
        <f t="shared" si="29"/>
        <v>0</v>
      </c>
      <c r="AQ21" s="27"/>
      <c r="AR21" s="27"/>
      <c r="AS21" s="7">
        <f t="shared" si="30"/>
        <v>0</v>
      </c>
      <c r="AT21" s="27"/>
      <c r="AU21" s="27"/>
      <c r="AV21" s="7">
        <f t="shared" si="31"/>
        <v>0</v>
      </c>
      <c r="AW21" s="7"/>
      <c r="AX21" s="7"/>
      <c r="AY21" s="7">
        <f t="shared" si="1"/>
        <v>0</v>
      </c>
      <c r="AZ21" s="7"/>
      <c r="BA21" s="7"/>
      <c r="BB21" s="7">
        <f t="shared" si="32"/>
        <v>0</v>
      </c>
      <c r="BC21" s="7"/>
      <c r="BD21" s="7"/>
      <c r="BE21" s="7">
        <f t="shared" si="33"/>
        <v>0</v>
      </c>
      <c r="BF21" s="7"/>
      <c r="BG21" s="7"/>
      <c r="BH21" s="7">
        <f t="shared" si="34"/>
        <v>0</v>
      </c>
      <c r="BI21" s="7"/>
      <c r="BJ21" s="7"/>
      <c r="BK21" s="7">
        <f t="shared" si="35"/>
        <v>0</v>
      </c>
      <c r="BL21" s="7"/>
      <c r="BM21" s="7"/>
      <c r="BN21" s="7">
        <f t="shared" si="36"/>
        <v>0</v>
      </c>
      <c r="BO21" s="7"/>
      <c r="BP21" s="7"/>
      <c r="BQ21" s="7">
        <f t="shared" si="37"/>
        <v>0</v>
      </c>
      <c r="BR21" s="7"/>
      <c r="BS21" s="7"/>
      <c r="BT21" s="7">
        <f t="shared" si="38"/>
        <v>0</v>
      </c>
      <c r="BU21" s="7"/>
      <c r="BV21" s="7"/>
      <c r="BW21" s="7">
        <f t="shared" si="39"/>
        <v>0</v>
      </c>
      <c r="BX21" s="7">
        <v>15594.6</v>
      </c>
      <c r="BY21" s="7">
        <f t="shared" si="18"/>
        <v>0</v>
      </c>
      <c r="BZ21" s="7">
        <f t="shared" si="19"/>
        <v>0</v>
      </c>
      <c r="CA21" s="7"/>
      <c r="CB21" s="7">
        <f t="shared" si="20"/>
        <v>500000</v>
      </c>
      <c r="CC21" s="7">
        <f t="shared" si="21"/>
        <v>500000</v>
      </c>
      <c r="CD21" s="15">
        <f t="shared" si="22"/>
        <v>0</v>
      </c>
      <c r="CE21" s="15">
        <f t="shared" si="23"/>
        <v>0</v>
      </c>
      <c r="CF21" s="451" t="s">
        <v>685</v>
      </c>
      <c r="CG21" s="27">
        <v>500000</v>
      </c>
      <c r="CH21" s="7">
        <v>500000</v>
      </c>
      <c r="CI21" s="7"/>
      <c r="CJ21" s="7"/>
      <c r="CK21" s="7"/>
      <c r="CL21" s="7">
        <f>CK21</f>
        <v>0</v>
      </c>
      <c r="CM21" s="7"/>
      <c r="CN21" s="7">
        <f>CM21</f>
        <v>0</v>
      </c>
      <c r="CO21" s="7"/>
      <c r="CP21" s="7"/>
      <c r="CQ21" s="7">
        <f>CO21+CP21</f>
        <v>0</v>
      </c>
      <c r="CR21" s="7">
        <f>CK21+CM21+CO21</f>
        <v>0</v>
      </c>
      <c r="CS21" s="7">
        <f>CL21+CN21+CQ21</f>
        <v>0</v>
      </c>
      <c r="CT21" s="7"/>
      <c r="CU21" s="7"/>
      <c r="CV21" s="7">
        <f>CT21+CU21</f>
        <v>0</v>
      </c>
      <c r="CW21" s="7"/>
      <c r="CX21" s="7"/>
      <c r="CY21" s="7">
        <f>CW21+CX21</f>
        <v>0</v>
      </c>
      <c r="CZ21" s="7"/>
      <c r="DA21" s="7"/>
      <c r="DB21" s="7">
        <f>CZ21+DA21</f>
        <v>0</v>
      </c>
      <c r="DC21" s="7"/>
      <c r="DD21" s="7">
        <f>DC21</f>
        <v>0</v>
      </c>
      <c r="DE21" s="7"/>
      <c r="DF21" s="7">
        <f>DE21</f>
        <v>0</v>
      </c>
      <c r="DG21" s="7"/>
      <c r="DH21" s="7">
        <f>DG21</f>
        <v>0</v>
      </c>
      <c r="DI21" s="7"/>
      <c r="DJ21" s="7">
        <f>DI21</f>
        <v>0</v>
      </c>
      <c r="DK21" s="7"/>
      <c r="DL21" s="7">
        <f>DK21</f>
        <v>0</v>
      </c>
      <c r="DM21" s="7"/>
      <c r="DN21" s="7">
        <f>DM21</f>
        <v>0</v>
      </c>
      <c r="DO21" s="7">
        <v>171173.4</v>
      </c>
      <c r="DP21" s="14">
        <f>CK21+CM21+CO21+CT21+CW21+CZ21+DC21+DE21+DG21+DI21+DK21+DM21</f>
        <v>0</v>
      </c>
      <c r="DQ21" s="14">
        <f>CL21+CN21+CQ21+CV21+CY21+DB21</f>
        <v>0</v>
      </c>
      <c r="DR21" s="7"/>
      <c r="DS21" s="7">
        <f>AG21-DP21</f>
        <v>250000</v>
      </c>
      <c r="DT21" s="7">
        <f>AG21-DQ21</f>
        <v>250000</v>
      </c>
      <c r="DU21" s="15">
        <f>DP21/AG21</f>
        <v>0</v>
      </c>
      <c r="DV21" s="15">
        <f>DQ21/AG21</f>
        <v>0</v>
      </c>
      <c r="DW21" s="15"/>
      <c r="DX21" s="15"/>
      <c r="DY21" s="7"/>
      <c r="DZ21" s="27"/>
      <c r="EA21" s="109"/>
    </row>
    <row r="22" spans="1:131" s="1" customFormat="1" x14ac:dyDescent="0.25">
      <c r="A22" s="8" t="s">
        <v>136</v>
      </c>
      <c r="B22" s="8" t="s">
        <v>136</v>
      </c>
      <c r="C22" s="8" t="s">
        <v>225</v>
      </c>
      <c r="D22" s="10" t="s">
        <v>72</v>
      </c>
      <c r="E22" s="26">
        <v>205005</v>
      </c>
      <c r="F22" s="354" t="s">
        <v>583</v>
      </c>
      <c r="G22" s="354" t="s">
        <v>585</v>
      </c>
      <c r="H22" s="354" t="s">
        <v>586</v>
      </c>
      <c r="I22" s="9" t="s">
        <v>29</v>
      </c>
      <c r="J22" s="10" t="s">
        <v>72</v>
      </c>
      <c r="K22" s="3">
        <v>4</v>
      </c>
      <c r="L22" s="11">
        <v>36</v>
      </c>
      <c r="M22" s="45"/>
      <c r="N22" s="3" t="s">
        <v>186</v>
      </c>
      <c r="O22" s="3" t="s">
        <v>189</v>
      </c>
      <c r="P22" s="3" t="s">
        <v>187</v>
      </c>
      <c r="Q22" s="3" t="s">
        <v>187</v>
      </c>
      <c r="R22" s="3">
        <v>270</v>
      </c>
      <c r="S22" s="3" t="s">
        <v>188</v>
      </c>
      <c r="T22" s="12" t="s">
        <v>26</v>
      </c>
      <c r="U22" s="12" t="s">
        <v>222</v>
      </c>
      <c r="V22" s="12"/>
      <c r="W22" s="12" t="s">
        <v>36</v>
      </c>
      <c r="X22" s="12"/>
      <c r="Y22" s="25" t="s">
        <v>69</v>
      </c>
      <c r="Z22" s="3" t="s">
        <v>92</v>
      </c>
      <c r="AA22" s="336" t="s">
        <v>521</v>
      </c>
      <c r="AB22" s="422" t="s">
        <v>37</v>
      </c>
      <c r="AC22" s="7"/>
      <c r="AD22" s="7"/>
      <c r="AE22" s="7">
        <v>0</v>
      </c>
      <c r="AF22" s="7">
        <v>2500000</v>
      </c>
      <c r="AG22" s="7">
        <f t="shared" si="24"/>
        <v>2500000</v>
      </c>
      <c r="AH22" s="7"/>
      <c r="AI22" s="7">
        <f t="shared" si="25"/>
        <v>2500000</v>
      </c>
      <c r="AJ22" s="62"/>
      <c r="AK22" s="27">
        <v>1500000</v>
      </c>
      <c r="AL22" s="36"/>
      <c r="AM22" s="33">
        <f t="shared" si="28"/>
        <v>1500000</v>
      </c>
      <c r="AN22" s="36">
        <v>0</v>
      </c>
      <c r="AO22" s="27">
        <v>0</v>
      </c>
      <c r="AP22" s="7">
        <f t="shared" si="29"/>
        <v>0</v>
      </c>
      <c r="AQ22" s="27">
        <v>170805</v>
      </c>
      <c r="AR22" s="27">
        <v>23912.7</v>
      </c>
      <c r="AS22" s="7">
        <f t="shared" si="30"/>
        <v>194717.7</v>
      </c>
      <c r="AT22" s="27"/>
      <c r="AU22" s="27"/>
      <c r="AV22" s="7">
        <f t="shared" si="31"/>
        <v>0</v>
      </c>
      <c r="AW22" s="7">
        <v>129259.3</v>
      </c>
      <c r="AX22" s="7"/>
      <c r="AY22" s="7">
        <f t="shared" si="1"/>
        <v>129259.3</v>
      </c>
      <c r="AZ22" s="7"/>
      <c r="BA22" s="7"/>
      <c r="BB22" s="7">
        <f t="shared" si="32"/>
        <v>0</v>
      </c>
      <c r="BC22" s="7"/>
      <c r="BD22" s="7"/>
      <c r="BE22" s="7">
        <f t="shared" si="33"/>
        <v>0</v>
      </c>
      <c r="BF22" s="7"/>
      <c r="BG22" s="7"/>
      <c r="BH22" s="7">
        <f t="shared" si="34"/>
        <v>0</v>
      </c>
      <c r="BI22" s="7"/>
      <c r="BJ22" s="7"/>
      <c r="BK22" s="7">
        <f t="shared" si="35"/>
        <v>0</v>
      </c>
      <c r="BL22" s="7"/>
      <c r="BM22" s="7"/>
      <c r="BN22" s="7">
        <f t="shared" si="36"/>
        <v>0</v>
      </c>
      <c r="BO22" s="7"/>
      <c r="BP22" s="7"/>
      <c r="BQ22" s="7">
        <f t="shared" si="37"/>
        <v>0</v>
      </c>
      <c r="BR22" s="7"/>
      <c r="BS22" s="7"/>
      <c r="BT22" s="7">
        <f t="shared" si="38"/>
        <v>0</v>
      </c>
      <c r="BU22" s="7"/>
      <c r="BV22" s="7"/>
      <c r="BW22" s="7">
        <f t="shared" si="39"/>
        <v>0</v>
      </c>
      <c r="BX22" s="7"/>
      <c r="BY22" s="7">
        <f t="shared" si="18"/>
        <v>300064.3</v>
      </c>
      <c r="BZ22" s="7">
        <f t="shared" si="19"/>
        <v>323977</v>
      </c>
      <c r="CA22" s="7"/>
      <c r="CB22" s="7">
        <f t="shared" si="20"/>
        <v>1199935.7</v>
      </c>
      <c r="CC22" s="7">
        <f t="shared" si="21"/>
        <v>1176023</v>
      </c>
      <c r="CD22" s="15">
        <f t="shared" si="22"/>
        <v>0.20004286666666665</v>
      </c>
      <c r="CE22" s="15">
        <f t="shared" si="23"/>
        <v>0.21598466666666666</v>
      </c>
      <c r="CF22" s="451" t="s">
        <v>803</v>
      </c>
      <c r="CG22" s="27">
        <v>1500000</v>
      </c>
      <c r="CH22" s="7">
        <v>1500000</v>
      </c>
      <c r="CI22" s="7"/>
      <c r="CJ22" s="7"/>
      <c r="CK22" s="7"/>
      <c r="CL22" s="7"/>
      <c r="CM22" s="7"/>
      <c r="CN22" s="7"/>
      <c r="CO22" s="7"/>
      <c r="CP22" s="7"/>
      <c r="CQ22" s="7"/>
      <c r="CR22" s="7"/>
      <c r="CS22" s="7"/>
      <c r="CT22" s="7"/>
      <c r="CU22" s="7"/>
      <c r="CV22" s="7"/>
      <c r="CW22" s="7"/>
      <c r="CX22" s="7"/>
      <c r="CY22" s="7"/>
      <c r="CZ22" s="7"/>
      <c r="DA22" s="7"/>
      <c r="DB22" s="7">
        <f>CZ22+DA22</f>
        <v>0</v>
      </c>
      <c r="DC22" s="7"/>
      <c r="DD22" s="7"/>
      <c r="DE22" s="7"/>
      <c r="DF22" s="7"/>
      <c r="DG22" s="7"/>
      <c r="DH22" s="7"/>
      <c r="DI22" s="7"/>
      <c r="DJ22" s="7"/>
      <c r="DK22" s="7"/>
      <c r="DL22" s="7"/>
      <c r="DM22" s="7"/>
      <c r="DN22" s="7"/>
      <c r="DO22" s="7"/>
      <c r="DP22" s="14"/>
      <c r="DQ22" s="14">
        <f>CL22+CN22+CQ22+CV22+CY22+DB22</f>
        <v>0</v>
      </c>
      <c r="DR22" s="7"/>
      <c r="DS22" s="7">
        <f>AG22-DP22</f>
        <v>2500000</v>
      </c>
      <c r="DT22" s="7">
        <f>AG22-DQ22</f>
        <v>2500000</v>
      </c>
      <c r="DU22" s="15">
        <f>DP22/AG22</f>
        <v>0</v>
      </c>
      <c r="DV22" s="15">
        <f>DQ22/AG22</f>
        <v>0</v>
      </c>
      <c r="DW22" s="7"/>
      <c r="DX22" s="7"/>
      <c r="DY22" s="7"/>
      <c r="DZ22" s="27"/>
      <c r="EA22" s="109"/>
    </row>
    <row r="23" spans="1:131" s="1" customFormat="1" x14ac:dyDescent="0.25">
      <c r="A23" s="8" t="s">
        <v>136</v>
      </c>
      <c r="B23" s="8" t="s">
        <v>692</v>
      </c>
      <c r="C23" s="8" t="s">
        <v>626</v>
      </c>
      <c r="D23" s="10"/>
      <c r="E23" s="26">
        <v>215005</v>
      </c>
      <c r="F23" s="354">
        <v>5</v>
      </c>
      <c r="G23" s="360" t="s">
        <v>186</v>
      </c>
      <c r="H23" s="354">
        <v>1515</v>
      </c>
      <c r="I23" s="9" t="s">
        <v>246</v>
      </c>
      <c r="J23" s="10" t="s">
        <v>72</v>
      </c>
      <c r="K23" s="3">
        <v>4</v>
      </c>
      <c r="L23" s="11" t="s">
        <v>187</v>
      </c>
      <c r="M23" s="45"/>
      <c r="N23" s="11" t="s">
        <v>186</v>
      </c>
      <c r="O23" s="11" t="s">
        <v>189</v>
      </c>
      <c r="P23" s="11" t="s">
        <v>187</v>
      </c>
      <c r="Q23" s="11" t="s">
        <v>187</v>
      </c>
      <c r="R23" s="3">
        <v>270</v>
      </c>
      <c r="S23" s="11" t="s">
        <v>188</v>
      </c>
      <c r="T23" s="12" t="s">
        <v>26</v>
      </c>
      <c r="U23" s="12" t="s">
        <v>222</v>
      </c>
      <c r="V23" s="12"/>
      <c r="W23" s="12" t="s">
        <v>5</v>
      </c>
      <c r="X23" s="12"/>
      <c r="Y23" s="25" t="s">
        <v>100</v>
      </c>
      <c r="Z23" s="3" t="s">
        <v>92</v>
      </c>
      <c r="AA23" s="435" t="s">
        <v>436</v>
      </c>
      <c r="AB23" s="12" t="s">
        <v>8</v>
      </c>
      <c r="AC23" s="7"/>
      <c r="AD23" s="7"/>
      <c r="AE23" s="7"/>
      <c r="AF23" s="7"/>
      <c r="AG23" s="7"/>
      <c r="AH23" s="7"/>
      <c r="AI23" s="7"/>
      <c r="AJ23" s="62"/>
      <c r="AK23" s="27"/>
      <c r="AL23" s="27">
        <v>8500</v>
      </c>
      <c r="AM23" s="33">
        <f t="shared" si="28"/>
        <v>8500</v>
      </c>
      <c r="AN23" s="36"/>
      <c r="AO23" s="27"/>
      <c r="AP23" s="7"/>
      <c r="AQ23" s="27"/>
      <c r="AR23" s="27"/>
      <c r="AS23" s="7">
        <f t="shared" si="30"/>
        <v>0</v>
      </c>
      <c r="AT23" s="27"/>
      <c r="AU23" s="27"/>
      <c r="AV23" s="7">
        <f t="shared" si="31"/>
        <v>0</v>
      </c>
      <c r="AW23" s="7"/>
      <c r="AX23" s="7"/>
      <c r="AY23" s="7">
        <f t="shared" si="1"/>
        <v>0</v>
      </c>
      <c r="AZ23" s="7"/>
      <c r="BA23" s="7"/>
      <c r="BB23" s="7"/>
      <c r="BC23" s="7"/>
      <c r="BD23" s="7"/>
      <c r="BE23" s="7"/>
      <c r="BF23" s="7"/>
      <c r="BG23" s="7"/>
      <c r="BH23" s="7"/>
      <c r="BI23" s="7"/>
      <c r="BJ23" s="7"/>
      <c r="BK23" s="7"/>
      <c r="BL23" s="7"/>
      <c r="BM23" s="7"/>
      <c r="BN23" s="7"/>
      <c r="BO23" s="7"/>
      <c r="BP23" s="7"/>
      <c r="BQ23" s="7"/>
      <c r="BR23" s="7"/>
      <c r="BS23" s="7"/>
      <c r="BT23" s="7"/>
      <c r="BU23" s="7"/>
      <c r="BV23" s="7"/>
      <c r="BW23" s="7"/>
      <c r="BX23" s="7">
        <v>5916.19</v>
      </c>
      <c r="BY23" s="7">
        <f t="shared" si="18"/>
        <v>0</v>
      </c>
      <c r="BZ23" s="7">
        <f t="shared" si="19"/>
        <v>0</v>
      </c>
      <c r="CA23" s="7"/>
      <c r="CB23" s="7">
        <f t="shared" si="20"/>
        <v>8500</v>
      </c>
      <c r="CC23" s="7">
        <f t="shared" si="21"/>
        <v>8500</v>
      </c>
      <c r="CD23" s="15">
        <f t="shared" si="22"/>
        <v>0</v>
      </c>
      <c r="CE23" s="15">
        <f t="shared" si="23"/>
        <v>0</v>
      </c>
      <c r="CF23" s="451" t="s">
        <v>685</v>
      </c>
      <c r="CG23" s="2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14"/>
      <c r="DQ23" s="14"/>
      <c r="DR23" s="7"/>
      <c r="DS23" s="7"/>
      <c r="DT23" s="7"/>
      <c r="DU23" s="15"/>
      <c r="DV23" s="15"/>
      <c r="DW23" s="7"/>
      <c r="DX23" s="7"/>
      <c r="DY23" s="7"/>
      <c r="DZ23" s="27"/>
      <c r="EA23" s="109"/>
    </row>
    <row r="24" spans="1:131" s="1" customFormat="1" ht="16.5" thickBot="1" x14ac:dyDescent="0.3">
      <c r="A24" s="18"/>
      <c r="B24" s="28"/>
      <c r="C24" s="18"/>
      <c r="D24" s="28"/>
      <c r="E24" s="16"/>
      <c r="F24" s="16"/>
      <c r="G24" s="16"/>
      <c r="H24" s="16"/>
      <c r="I24" s="28"/>
      <c r="J24" s="29"/>
      <c r="K24" s="16"/>
      <c r="L24" s="16"/>
      <c r="M24" s="57"/>
      <c r="N24" s="16"/>
      <c r="O24" s="16"/>
      <c r="P24" s="16"/>
      <c r="Q24" s="16"/>
      <c r="R24" s="16"/>
      <c r="S24" s="16"/>
      <c r="T24" s="28"/>
      <c r="U24" s="28"/>
      <c r="V24" s="28"/>
      <c r="W24" s="28"/>
      <c r="X24" s="28"/>
      <c r="Y24" s="30"/>
      <c r="Z24" s="30"/>
      <c r="AA24" s="55" t="s">
        <v>180</v>
      </c>
      <c r="AB24" s="28"/>
      <c r="AC24" s="31">
        <f>SUM(AC20:AC21)</f>
        <v>10250000</v>
      </c>
      <c r="AD24" s="31">
        <f>SUM(AD20:AD21)</f>
        <v>0</v>
      </c>
      <c r="AE24" s="31">
        <f t="shared" ref="AE24:DT24" si="40">SUM(AE20:AE22)</f>
        <v>10250000</v>
      </c>
      <c r="AF24" s="31">
        <f t="shared" si="40"/>
        <v>2500000</v>
      </c>
      <c r="AG24" s="7">
        <f t="shared" si="24"/>
        <v>12750000</v>
      </c>
      <c r="AH24" s="31">
        <f t="shared" si="40"/>
        <v>-10000000</v>
      </c>
      <c r="AI24" s="7">
        <f t="shared" si="25"/>
        <v>2750000</v>
      </c>
      <c r="AJ24" s="408">
        <f t="shared" si="40"/>
        <v>0</v>
      </c>
      <c r="AK24" s="31">
        <f>SUM(AK20:AK23)</f>
        <v>7000000</v>
      </c>
      <c r="AL24" s="31">
        <f t="shared" ref="AL24:AM24" si="41">SUM(AL20:AL23)</f>
        <v>8500</v>
      </c>
      <c r="AM24" s="31">
        <f t="shared" si="41"/>
        <v>7008500</v>
      </c>
      <c r="AN24" s="31">
        <f t="shared" ref="AN24:CA24" si="42">SUM(AN20:AN23)</f>
        <v>0</v>
      </c>
      <c r="AO24" s="31">
        <f t="shared" si="42"/>
        <v>0</v>
      </c>
      <c r="AP24" s="31">
        <f t="shared" si="42"/>
        <v>0</v>
      </c>
      <c r="AQ24" s="31">
        <f t="shared" si="42"/>
        <v>170805</v>
      </c>
      <c r="AR24" s="31">
        <f t="shared" si="42"/>
        <v>23912.7</v>
      </c>
      <c r="AS24" s="31">
        <f t="shared" si="42"/>
        <v>194717.7</v>
      </c>
      <c r="AT24" s="31">
        <f t="shared" si="42"/>
        <v>107792</v>
      </c>
      <c r="AU24" s="31">
        <f t="shared" si="42"/>
        <v>0</v>
      </c>
      <c r="AV24" s="31">
        <f t="shared" si="42"/>
        <v>107792</v>
      </c>
      <c r="AW24" s="31">
        <f t="shared" si="42"/>
        <v>2712625.98</v>
      </c>
      <c r="AX24" s="458">
        <f t="shared" si="42"/>
        <v>376762.21</v>
      </c>
      <c r="AY24" s="20">
        <f t="shared" si="1"/>
        <v>3089388.19</v>
      </c>
      <c r="AZ24" s="31">
        <f t="shared" si="42"/>
        <v>0</v>
      </c>
      <c r="BA24" s="31">
        <f t="shared" si="42"/>
        <v>0</v>
      </c>
      <c r="BB24" s="31">
        <f t="shared" si="42"/>
        <v>0</v>
      </c>
      <c r="BC24" s="31">
        <f t="shared" si="42"/>
        <v>0</v>
      </c>
      <c r="BD24" s="31">
        <f t="shared" si="42"/>
        <v>0</v>
      </c>
      <c r="BE24" s="31">
        <f t="shared" si="42"/>
        <v>0</v>
      </c>
      <c r="BF24" s="31">
        <f t="shared" si="42"/>
        <v>0</v>
      </c>
      <c r="BG24" s="31">
        <f t="shared" si="42"/>
        <v>0</v>
      </c>
      <c r="BH24" s="31">
        <f t="shared" si="42"/>
        <v>0</v>
      </c>
      <c r="BI24" s="31">
        <f t="shared" si="42"/>
        <v>0</v>
      </c>
      <c r="BJ24" s="31">
        <f t="shared" si="42"/>
        <v>0</v>
      </c>
      <c r="BK24" s="31">
        <f t="shared" si="42"/>
        <v>0</v>
      </c>
      <c r="BL24" s="31">
        <f t="shared" si="42"/>
        <v>0</v>
      </c>
      <c r="BM24" s="31">
        <f t="shared" si="42"/>
        <v>0</v>
      </c>
      <c r="BN24" s="31">
        <f t="shared" si="42"/>
        <v>0</v>
      </c>
      <c r="BO24" s="31">
        <f t="shared" si="42"/>
        <v>0</v>
      </c>
      <c r="BP24" s="31">
        <f t="shared" si="42"/>
        <v>0</v>
      </c>
      <c r="BQ24" s="31">
        <f t="shared" si="42"/>
        <v>0</v>
      </c>
      <c r="BR24" s="31">
        <f t="shared" si="42"/>
        <v>0</v>
      </c>
      <c r="BS24" s="31">
        <f t="shared" si="42"/>
        <v>0</v>
      </c>
      <c r="BT24" s="31">
        <f t="shared" si="42"/>
        <v>0</v>
      </c>
      <c r="BU24" s="31">
        <f t="shared" si="42"/>
        <v>0</v>
      </c>
      <c r="BV24" s="31">
        <f t="shared" si="42"/>
        <v>0</v>
      </c>
      <c r="BW24" s="31">
        <f t="shared" si="42"/>
        <v>0</v>
      </c>
      <c r="BX24" s="31">
        <f t="shared" si="42"/>
        <v>320335.06</v>
      </c>
      <c r="BY24" s="20">
        <f t="shared" si="18"/>
        <v>2991222.98</v>
      </c>
      <c r="BZ24" s="20">
        <f t="shared" si="19"/>
        <v>3391897.89</v>
      </c>
      <c r="CA24" s="31">
        <f t="shared" si="42"/>
        <v>0</v>
      </c>
      <c r="CB24" s="20">
        <f t="shared" si="20"/>
        <v>4017277.02</v>
      </c>
      <c r="CC24" s="20">
        <f t="shared" si="21"/>
        <v>3616602.11</v>
      </c>
      <c r="CD24" s="21">
        <f t="shared" si="22"/>
        <v>0.42679931226367984</v>
      </c>
      <c r="CE24" s="21">
        <f t="shared" si="23"/>
        <v>0.48396916458586003</v>
      </c>
      <c r="CF24" s="451"/>
      <c r="CG24" s="31">
        <f t="shared" si="40"/>
        <v>18878000</v>
      </c>
      <c r="CH24" s="31">
        <f t="shared" si="40"/>
        <v>19744000</v>
      </c>
      <c r="CI24" s="31">
        <f t="shared" si="40"/>
        <v>0</v>
      </c>
      <c r="CJ24" s="31">
        <f t="shared" si="40"/>
        <v>0</v>
      </c>
      <c r="CK24" s="31">
        <f t="shared" si="40"/>
        <v>0</v>
      </c>
      <c r="CL24" s="31">
        <f t="shared" si="40"/>
        <v>0</v>
      </c>
      <c r="CM24" s="31">
        <f t="shared" si="40"/>
        <v>0</v>
      </c>
      <c r="CN24" s="31">
        <f t="shared" si="40"/>
        <v>0</v>
      </c>
      <c r="CO24" s="31">
        <f t="shared" si="40"/>
        <v>0</v>
      </c>
      <c r="CP24" s="31">
        <f t="shared" si="40"/>
        <v>0</v>
      </c>
      <c r="CQ24" s="31">
        <f t="shared" si="40"/>
        <v>0</v>
      </c>
      <c r="CR24" s="31">
        <f t="shared" si="40"/>
        <v>0</v>
      </c>
      <c r="CS24" s="31">
        <f t="shared" si="40"/>
        <v>0</v>
      </c>
      <c r="CT24" s="31">
        <f t="shared" si="40"/>
        <v>0</v>
      </c>
      <c r="CU24" s="31">
        <f t="shared" si="40"/>
        <v>0</v>
      </c>
      <c r="CV24" s="31">
        <f t="shared" si="40"/>
        <v>0</v>
      </c>
      <c r="CW24" s="31">
        <f t="shared" si="40"/>
        <v>0</v>
      </c>
      <c r="CX24" s="31">
        <f t="shared" si="40"/>
        <v>0</v>
      </c>
      <c r="CY24" s="31">
        <f t="shared" si="40"/>
        <v>0</v>
      </c>
      <c r="CZ24" s="31">
        <f t="shared" si="40"/>
        <v>0</v>
      </c>
      <c r="DA24" s="31">
        <f t="shared" si="40"/>
        <v>0</v>
      </c>
      <c r="DB24" s="31">
        <f t="shared" si="40"/>
        <v>0</v>
      </c>
      <c r="DC24" s="31">
        <f t="shared" si="40"/>
        <v>0</v>
      </c>
      <c r="DD24" s="31">
        <f t="shared" si="40"/>
        <v>0</v>
      </c>
      <c r="DE24" s="31">
        <f t="shared" si="40"/>
        <v>0</v>
      </c>
      <c r="DF24" s="31">
        <f t="shared" si="40"/>
        <v>0</v>
      </c>
      <c r="DG24" s="31">
        <f t="shared" si="40"/>
        <v>0</v>
      </c>
      <c r="DH24" s="31">
        <f t="shared" si="40"/>
        <v>0</v>
      </c>
      <c r="DI24" s="31">
        <f t="shared" si="40"/>
        <v>0</v>
      </c>
      <c r="DJ24" s="31">
        <f t="shared" si="40"/>
        <v>0</v>
      </c>
      <c r="DK24" s="31">
        <f t="shared" si="40"/>
        <v>0</v>
      </c>
      <c r="DL24" s="31">
        <f t="shared" si="40"/>
        <v>0</v>
      </c>
      <c r="DM24" s="31">
        <f t="shared" si="40"/>
        <v>0</v>
      </c>
      <c r="DN24" s="31">
        <f t="shared" si="40"/>
        <v>0</v>
      </c>
      <c r="DO24" s="31">
        <f t="shared" si="40"/>
        <v>171173.4</v>
      </c>
      <c r="DP24" s="31">
        <f t="shared" si="40"/>
        <v>0</v>
      </c>
      <c r="DQ24" s="31">
        <f t="shared" si="40"/>
        <v>0</v>
      </c>
      <c r="DR24" s="31">
        <f t="shared" si="40"/>
        <v>0</v>
      </c>
      <c r="DS24" s="31">
        <f t="shared" si="40"/>
        <v>12750000</v>
      </c>
      <c r="DT24" s="31">
        <f t="shared" si="40"/>
        <v>12750000</v>
      </c>
      <c r="DU24" s="21">
        <f>DP24/AG24</f>
        <v>0</v>
      </c>
      <c r="DV24" s="21">
        <f>DQ24/AG24</f>
        <v>0</v>
      </c>
      <c r="DW24" s="21"/>
      <c r="DX24" s="21"/>
      <c r="DY24" s="31">
        <f>SUM(DY20:DY22)</f>
        <v>0</v>
      </c>
      <c r="DZ24" s="31"/>
      <c r="EA24" s="109"/>
    </row>
    <row r="25" spans="1:131" s="1" customFormat="1" ht="16.5" thickTop="1" x14ac:dyDescent="0.25">
      <c r="A25" s="12"/>
      <c r="B25" s="12"/>
      <c r="C25" s="12"/>
      <c r="D25" s="12"/>
      <c r="E25" s="3"/>
      <c r="F25" s="3"/>
      <c r="G25" s="3"/>
      <c r="H25" s="3"/>
      <c r="I25" s="12"/>
      <c r="J25" s="24"/>
      <c r="K25" s="3"/>
      <c r="L25" s="3"/>
      <c r="M25" s="45"/>
      <c r="N25" s="3"/>
      <c r="O25" s="3"/>
      <c r="P25" s="3"/>
      <c r="Q25" s="3"/>
      <c r="R25" s="3"/>
      <c r="S25" s="3"/>
      <c r="T25" s="12"/>
      <c r="U25" s="12"/>
      <c r="V25" s="12"/>
      <c r="W25" s="12"/>
      <c r="X25" s="12"/>
      <c r="Y25" s="25"/>
      <c r="Z25" s="25"/>
      <c r="AA25" s="337"/>
      <c r="AB25" s="12"/>
      <c r="AC25" s="27"/>
      <c r="AD25" s="27"/>
      <c r="AE25" s="7"/>
      <c r="AF25" s="7"/>
      <c r="AG25" s="7">
        <f t="shared" si="24"/>
        <v>0</v>
      </c>
      <c r="AH25" s="7"/>
      <c r="AI25" s="7">
        <f t="shared" si="25"/>
        <v>0</v>
      </c>
      <c r="AJ25" s="62"/>
      <c r="AK25" s="27"/>
      <c r="AL25" s="36"/>
      <c r="AM25" s="33"/>
      <c r="AN25" s="36"/>
      <c r="AO25" s="27"/>
      <c r="AP25" s="7"/>
      <c r="AQ25" s="27"/>
      <c r="AR25" s="27"/>
      <c r="AS25" s="7"/>
      <c r="AT25" s="27"/>
      <c r="AU25" s="2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15"/>
      <c r="CE25" s="15"/>
      <c r="CF25" s="451"/>
      <c r="CG25" s="27"/>
      <c r="CH25" s="7"/>
      <c r="CI25" s="7"/>
      <c r="CJ25" s="7"/>
      <c r="CK25" s="27"/>
      <c r="CL25" s="7"/>
      <c r="CM25" s="27"/>
      <c r="CN25" s="7"/>
      <c r="CO25" s="27"/>
      <c r="CP25" s="27"/>
      <c r="CQ25" s="7"/>
      <c r="CR25" s="7"/>
      <c r="CS25" s="7"/>
      <c r="CT25" s="27"/>
      <c r="CU25" s="27"/>
      <c r="CV25" s="7"/>
      <c r="CW25" s="27"/>
      <c r="CX25" s="27"/>
      <c r="CY25" s="7"/>
      <c r="CZ25" s="27"/>
      <c r="DA25" s="27"/>
      <c r="DB25" s="7"/>
      <c r="DC25" s="27"/>
      <c r="DD25" s="7">
        <f>DC25</f>
        <v>0</v>
      </c>
      <c r="DE25" s="27"/>
      <c r="DF25" s="7">
        <f>DE25</f>
        <v>0</v>
      </c>
      <c r="DG25" s="27"/>
      <c r="DH25" s="7">
        <f>DG25</f>
        <v>0</v>
      </c>
      <c r="DI25" s="27"/>
      <c r="DJ25" s="7">
        <f>DI25</f>
        <v>0</v>
      </c>
      <c r="DK25" s="27"/>
      <c r="DL25" s="7">
        <f>DK25</f>
        <v>0</v>
      </c>
      <c r="DM25" s="27"/>
      <c r="DN25" s="7">
        <f>DM25</f>
        <v>0</v>
      </c>
      <c r="DO25" s="27"/>
      <c r="DP25" s="14"/>
      <c r="DQ25" s="14"/>
      <c r="DR25" s="7"/>
      <c r="DS25" s="7"/>
      <c r="DT25" s="7"/>
      <c r="DU25" s="15"/>
      <c r="DV25" s="15"/>
      <c r="DW25" s="15"/>
      <c r="DX25" s="15"/>
      <c r="DY25" s="7"/>
      <c r="DZ25" s="27"/>
      <c r="EA25" s="109"/>
    </row>
    <row r="26" spans="1:131" s="1" customFormat="1" x14ac:dyDescent="0.25">
      <c r="A26" s="22" t="s">
        <v>565</v>
      </c>
      <c r="B26" s="23"/>
      <c r="C26" s="22"/>
      <c r="D26" s="23"/>
      <c r="E26" s="3"/>
      <c r="F26" s="3"/>
      <c r="G26" s="3"/>
      <c r="H26" s="3"/>
      <c r="I26" s="12"/>
      <c r="J26" s="24"/>
      <c r="K26" s="3"/>
      <c r="L26" s="3"/>
      <c r="M26" s="45"/>
      <c r="N26" s="3"/>
      <c r="O26" s="3"/>
      <c r="P26" s="3"/>
      <c r="Q26" s="3"/>
      <c r="R26" s="3"/>
      <c r="S26" s="3"/>
      <c r="T26" s="12"/>
      <c r="U26" s="12"/>
      <c r="V26" s="12"/>
      <c r="W26" s="12"/>
      <c r="X26" s="12"/>
      <c r="Y26" s="25"/>
      <c r="Z26" s="25"/>
      <c r="AA26" s="338" t="s">
        <v>687</v>
      </c>
      <c r="AB26" s="12"/>
      <c r="AC26" s="27"/>
      <c r="AD26" s="27"/>
      <c r="AE26" s="7"/>
      <c r="AF26" s="7"/>
      <c r="AG26" s="7">
        <f t="shared" si="24"/>
        <v>0</v>
      </c>
      <c r="AH26" s="7"/>
      <c r="AI26" s="7">
        <f t="shared" si="25"/>
        <v>0</v>
      </c>
      <c r="AJ26" s="62"/>
      <c r="AK26" s="27"/>
      <c r="AL26" s="36"/>
      <c r="AM26" s="33"/>
      <c r="AN26" s="36"/>
      <c r="AO26" s="27"/>
      <c r="AP26" s="7"/>
      <c r="AQ26" s="27"/>
      <c r="AR26" s="27"/>
      <c r="AS26" s="7"/>
      <c r="AT26" s="27"/>
      <c r="AU26" s="2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15"/>
      <c r="CE26" s="15"/>
      <c r="CF26" s="451"/>
      <c r="CG26" s="27"/>
      <c r="CH26" s="7"/>
      <c r="CI26" s="7"/>
      <c r="CJ26" s="7"/>
      <c r="CK26" s="27"/>
      <c r="CL26" s="7"/>
      <c r="CM26" s="27"/>
      <c r="CN26" s="7"/>
      <c r="CO26" s="27"/>
      <c r="CP26" s="27"/>
      <c r="CQ26" s="7"/>
      <c r="CR26" s="7"/>
      <c r="CS26" s="7"/>
      <c r="CT26" s="27"/>
      <c r="CU26" s="27"/>
      <c r="CV26" s="7"/>
      <c r="CW26" s="27"/>
      <c r="CX26" s="27"/>
      <c r="CY26" s="7"/>
      <c r="CZ26" s="27"/>
      <c r="DA26" s="27"/>
      <c r="DB26" s="7"/>
      <c r="DC26" s="27"/>
      <c r="DD26" s="7">
        <f>DC26</f>
        <v>0</v>
      </c>
      <c r="DE26" s="27"/>
      <c r="DF26" s="7">
        <f>DE26</f>
        <v>0</v>
      </c>
      <c r="DG26" s="27"/>
      <c r="DH26" s="7">
        <f>DG26</f>
        <v>0</v>
      </c>
      <c r="DI26" s="27"/>
      <c r="DJ26" s="7">
        <f>DI26</f>
        <v>0</v>
      </c>
      <c r="DK26" s="27"/>
      <c r="DL26" s="7">
        <f>DK26</f>
        <v>0</v>
      </c>
      <c r="DM26" s="27"/>
      <c r="DN26" s="7">
        <f>DM26</f>
        <v>0</v>
      </c>
      <c r="DO26" s="27"/>
      <c r="DP26" s="14"/>
      <c r="DQ26" s="14"/>
      <c r="DR26" s="7"/>
      <c r="DS26" s="7"/>
      <c r="DT26" s="7"/>
      <c r="DU26" s="15"/>
      <c r="DV26" s="15"/>
      <c r="DW26" s="15"/>
      <c r="DX26" s="15"/>
      <c r="DY26" s="7"/>
      <c r="DZ26" s="27"/>
      <c r="EA26" s="109"/>
    </row>
    <row r="27" spans="1:131" s="1" customFormat="1" x14ac:dyDescent="0.25">
      <c r="A27" s="12" t="s">
        <v>564</v>
      </c>
      <c r="B27" s="23"/>
      <c r="C27" s="8" t="s">
        <v>226</v>
      </c>
      <c r="D27" s="23"/>
      <c r="E27" s="3">
        <v>250005</v>
      </c>
      <c r="F27" s="353" t="s">
        <v>583</v>
      </c>
      <c r="G27" s="353" t="s">
        <v>187</v>
      </c>
      <c r="H27" s="353" t="s">
        <v>588</v>
      </c>
      <c r="I27" s="9" t="s">
        <v>13</v>
      </c>
      <c r="J27" s="24" t="s">
        <v>72</v>
      </c>
      <c r="K27" s="3">
        <v>4</v>
      </c>
      <c r="L27" s="11" t="s">
        <v>187</v>
      </c>
      <c r="M27" s="45"/>
      <c r="N27" s="11" t="s">
        <v>186</v>
      </c>
      <c r="O27" s="11" t="s">
        <v>189</v>
      </c>
      <c r="P27" s="11" t="s">
        <v>187</v>
      </c>
      <c r="Q27" s="11" t="s">
        <v>187</v>
      </c>
      <c r="R27" s="3">
        <v>270</v>
      </c>
      <c r="S27" s="3" t="s">
        <v>188</v>
      </c>
      <c r="T27" s="12" t="s">
        <v>26</v>
      </c>
      <c r="U27" s="12" t="s">
        <v>222</v>
      </c>
      <c r="V27" s="12"/>
      <c r="W27" s="12" t="s">
        <v>36</v>
      </c>
      <c r="X27" s="12" t="s">
        <v>13</v>
      </c>
      <c r="Y27" s="25" t="s">
        <v>69</v>
      </c>
      <c r="Z27" s="25" t="s">
        <v>92</v>
      </c>
      <c r="AA27" s="9" t="s">
        <v>293</v>
      </c>
      <c r="AB27" s="12" t="s">
        <v>8</v>
      </c>
      <c r="AC27" s="36"/>
      <c r="AD27" s="36"/>
      <c r="AE27" s="7"/>
      <c r="AF27" s="33"/>
      <c r="AG27" s="7">
        <f t="shared" si="24"/>
        <v>0</v>
      </c>
      <c r="AH27" s="33"/>
      <c r="AI27" s="7">
        <f t="shared" si="25"/>
        <v>0</v>
      </c>
      <c r="AJ27" s="409"/>
      <c r="AK27" s="27">
        <v>500000</v>
      </c>
      <c r="AL27" s="36"/>
      <c r="AM27" s="33">
        <f t="shared" si="28"/>
        <v>500000</v>
      </c>
      <c r="AN27" s="36">
        <v>0</v>
      </c>
      <c r="AO27" s="36">
        <v>0</v>
      </c>
      <c r="AP27" s="7">
        <f t="shared" si="29"/>
        <v>0</v>
      </c>
      <c r="AQ27" s="36">
        <v>14706.1</v>
      </c>
      <c r="AR27" s="36"/>
      <c r="AS27" s="7">
        <f t="shared" si="30"/>
        <v>14706.1</v>
      </c>
      <c r="AT27" s="36"/>
      <c r="AU27" s="36"/>
      <c r="AV27" s="7">
        <f t="shared" si="31"/>
        <v>0</v>
      </c>
      <c r="AW27" s="33">
        <v>45043.26</v>
      </c>
      <c r="AX27" s="33"/>
      <c r="AY27" s="7">
        <f t="shared" si="1"/>
        <v>45043.26</v>
      </c>
      <c r="AZ27" s="33"/>
      <c r="BA27" s="33"/>
      <c r="BB27" s="7">
        <f t="shared" si="32"/>
        <v>0</v>
      </c>
      <c r="BC27" s="33"/>
      <c r="BD27" s="33"/>
      <c r="BE27" s="7">
        <f t="shared" si="33"/>
        <v>0</v>
      </c>
      <c r="BF27" s="33"/>
      <c r="BG27" s="33"/>
      <c r="BH27" s="7">
        <f t="shared" si="34"/>
        <v>0</v>
      </c>
      <c r="BI27" s="33"/>
      <c r="BJ27" s="33"/>
      <c r="BK27" s="7">
        <f t="shared" si="35"/>
        <v>0</v>
      </c>
      <c r="BL27" s="33"/>
      <c r="BM27" s="33"/>
      <c r="BN27" s="7">
        <f t="shared" si="36"/>
        <v>0</v>
      </c>
      <c r="BO27" s="33"/>
      <c r="BP27" s="33"/>
      <c r="BQ27" s="7">
        <f t="shared" si="37"/>
        <v>0</v>
      </c>
      <c r="BR27" s="33"/>
      <c r="BS27" s="33"/>
      <c r="BT27" s="7">
        <f t="shared" si="38"/>
        <v>0</v>
      </c>
      <c r="BU27" s="33"/>
      <c r="BV27" s="33"/>
      <c r="BW27" s="7">
        <f t="shared" si="39"/>
        <v>0</v>
      </c>
      <c r="BX27" s="33">
        <v>43417.55</v>
      </c>
      <c r="BY27" s="7">
        <f t="shared" si="18"/>
        <v>59749.36</v>
      </c>
      <c r="BZ27" s="7">
        <f t="shared" si="19"/>
        <v>59749.36</v>
      </c>
      <c r="CA27" s="33"/>
      <c r="CB27" s="7">
        <f t="shared" si="20"/>
        <v>440250.64</v>
      </c>
      <c r="CC27" s="7">
        <f t="shared" si="21"/>
        <v>440250.64</v>
      </c>
      <c r="CD27" s="15">
        <f t="shared" si="22"/>
        <v>0.11949872</v>
      </c>
      <c r="CE27" s="15">
        <f t="shared" si="23"/>
        <v>0.11949872</v>
      </c>
      <c r="CF27" s="451" t="s">
        <v>685</v>
      </c>
      <c r="CG27" s="36">
        <v>500000</v>
      </c>
      <c r="CH27" s="33">
        <v>500000</v>
      </c>
      <c r="CI27" s="33"/>
      <c r="CJ27" s="33"/>
      <c r="CK27" s="36"/>
      <c r="CL27" s="7"/>
      <c r="CM27" s="36"/>
      <c r="CN27" s="7"/>
      <c r="CO27" s="36"/>
      <c r="CP27" s="36"/>
      <c r="CQ27" s="7"/>
      <c r="CR27" s="7"/>
      <c r="CS27" s="7"/>
      <c r="CT27" s="36"/>
      <c r="CU27" s="36"/>
      <c r="CV27" s="7"/>
      <c r="CW27" s="36"/>
      <c r="CX27" s="36"/>
      <c r="CY27" s="7"/>
      <c r="CZ27" s="36"/>
      <c r="DA27" s="36"/>
      <c r="DB27" s="7"/>
      <c r="DC27" s="36"/>
      <c r="DD27" s="7"/>
      <c r="DE27" s="36"/>
      <c r="DF27" s="7"/>
      <c r="DG27" s="36"/>
      <c r="DH27" s="7"/>
      <c r="DI27" s="36"/>
      <c r="DJ27" s="7"/>
      <c r="DK27" s="36"/>
      <c r="DL27" s="7"/>
      <c r="DM27" s="36"/>
      <c r="DN27" s="7"/>
      <c r="DO27" s="36"/>
      <c r="DP27" s="14"/>
      <c r="DQ27" s="14"/>
      <c r="DR27" s="7"/>
      <c r="DS27" s="7"/>
      <c r="DT27" s="7"/>
      <c r="DU27" s="15"/>
      <c r="DV27" s="15"/>
      <c r="DW27" s="291"/>
      <c r="DX27" s="291"/>
      <c r="DY27" s="33"/>
      <c r="DZ27" s="36"/>
      <c r="EA27" s="109"/>
    </row>
    <row r="28" spans="1:131" s="1" customFormat="1" x14ac:dyDescent="0.25">
      <c r="A28" s="12" t="s">
        <v>564</v>
      </c>
      <c r="B28" s="24" t="s">
        <v>62</v>
      </c>
      <c r="C28" s="8" t="s">
        <v>227</v>
      </c>
      <c r="D28" s="24"/>
      <c r="E28" s="3">
        <v>255005</v>
      </c>
      <c r="F28" s="353" t="s">
        <v>583</v>
      </c>
      <c r="G28" s="359" t="s">
        <v>187</v>
      </c>
      <c r="H28" s="353">
        <v>1504</v>
      </c>
      <c r="I28" s="9" t="s">
        <v>13</v>
      </c>
      <c r="J28" s="10" t="s">
        <v>13</v>
      </c>
      <c r="K28" s="3">
        <v>4</v>
      </c>
      <c r="L28" s="11" t="s">
        <v>187</v>
      </c>
      <c r="M28" s="45"/>
      <c r="N28" s="11" t="s">
        <v>186</v>
      </c>
      <c r="O28" s="11" t="s">
        <v>189</v>
      </c>
      <c r="P28" s="11" t="s">
        <v>187</v>
      </c>
      <c r="Q28" s="11" t="s">
        <v>187</v>
      </c>
      <c r="R28" s="11">
        <v>270</v>
      </c>
      <c r="S28" s="3" t="s">
        <v>188</v>
      </c>
      <c r="T28" s="12" t="s">
        <v>26</v>
      </c>
      <c r="U28" s="12" t="s">
        <v>222</v>
      </c>
      <c r="V28" s="12"/>
      <c r="W28" s="12" t="s">
        <v>36</v>
      </c>
      <c r="X28" s="12" t="s">
        <v>13</v>
      </c>
      <c r="Y28" s="25" t="s">
        <v>69</v>
      </c>
      <c r="Z28" s="347"/>
      <c r="AA28" s="252" t="s">
        <v>165</v>
      </c>
      <c r="AB28" s="12" t="s">
        <v>8</v>
      </c>
      <c r="AC28" s="36">
        <v>200000</v>
      </c>
      <c r="AD28" s="36"/>
      <c r="AE28" s="7">
        <f>AC28+AD28</f>
        <v>200000</v>
      </c>
      <c r="AF28" s="33"/>
      <c r="AG28" s="7">
        <f t="shared" si="24"/>
        <v>200000</v>
      </c>
      <c r="AH28" s="33">
        <v>200000</v>
      </c>
      <c r="AI28" s="7">
        <f t="shared" si="25"/>
        <v>400000</v>
      </c>
      <c r="AJ28" s="409"/>
      <c r="AK28" s="27">
        <v>100000</v>
      </c>
      <c r="AL28" s="36"/>
      <c r="AM28" s="33">
        <f t="shared" si="28"/>
        <v>100000</v>
      </c>
      <c r="AN28" s="36">
        <v>0</v>
      </c>
      <c r="AO28" s="36">
        <v>0</v>
      </c>
      <c r="AP28" s="7">
        <f t="shared" si="29"/>
        <v>0</v>
      </c>
      <c r="AQ28" s="36"/>
      <c r="AR28" s="36"/>
      <c r="AS28" s="7">
        <f t="shared" si="30"/>
        <v>0</v>
      </c>
      <c r="AT28" s="36"/>
      <c r="AU28" s="36"/>
      <c r="AV28" s="7">
        <f t="shared" si="31"/>
        <v>0</v>
      </c>
      <c r="AW28" s="33"/>
      <c r="AX28" s="33"/>
      <c r="AY28" s="7">
        <f t="shared" si="1"/>
        <v>0</v>
      </c>
      <c r="AZ28" s="33"/>
      <c r="BA28" s="33"/>
      <c r="BB28" s="7">
        <f t="shared" si="32"/>
        <v>0</v>
      </c>
      <c r="BC28" s="33"/>
      <c r="BD28" s="33"/>
      <c r="BE28" s="7">
        <f t="shared" si="33"/>
        <v>0</v>
      </c>
      <c r="BF28" s="33"/>
      <c r="BG28" s="33"/>
      <c r="BH28" s="7">
        <f t="shared" si="34"/>
        <v>0</v>
      </c>
      <c r="BI28" s="33"/>
      <c r="BJ28" s="33"/>
      <c r="BK28" s="7">
        <f t="shared" si="35"/>
        <v>0</v>
      </c>
      <c r="BL28" s="33"/>
      <c r="BM28" s="33"/>
      <c r="BN28" s="7">
        <f t="shared" si="36"/>
        <v>0</v>
      </c>
      <c r="BO28" s="33"/>
      <c r="BP28" s="33"/>
      <c r="BQ28" s="7">
        <f t="shared" si="37"/>
        <v>0</v>
      </c>
      <c r="BR28" s="33"/>
      <c r="BS28" s="33"/>
      <c r="BT28" s="7">
        <f t="shared" si="38"/>
        <v>0</v>
      </c>
      <c r="BU28" s="33"/>
      <c r="BV28" s="33"/>
      <c r="BW28" s="7">
        <f t="shared" si="39"/>
        <v>0</v>
      </c>
      <c r="BX28" s="33"/>
      <c r="BY28" s="7">
        <f t="shared" si="18"/>
        <v>0</v>
      </c>
      <c r="BZ28" s="7">
        <f t="shared" si="19"/>
        <v>0</v>
      </c>
      <c r="CA28" s="33"/>
      <c r="CB28" s="7">
        <f t="shared" si="20"/>
        <v>100000</v>
      </c>
      <c r="CC28" s="7">
        <f t="shared" si="21"/>
        <v>100000</v>
      </c>
      <c r="CD28" s="15">
        <f t="shared" si="22"/>
        <v>0</v>
      </c>
      <c r="CE28" s="15">
        <f t="shared" si="23"/>
        <v>0</v>
      </c>
      <c r="CF28" s="451" t="s">
        <v>685</v>
      </c>
      <c r="CG28" s="36">
        <v>150000</v>
      </c>
      <c r="CH28" s="33">
        <v>0</v>
      </c>
      <c r="CI28" s="33"/>
      <c r="CJ28" s="33"/>
      <c r="CK28" s="36"/>
      <c r="CL28" s="7">
        <f>CK28</f>
        <v>0</v>
      </c>
      <c r="CM28" s="36"/>
      <c r="CN28" s="7">
        <f>CM28</f>
        <v>0</v>
      </c>
      <c r="CO28" s="36"/>
      <c r="CP28" s="36"/>
      <c r="CQ28" s="7">
        <f>CO28+CP28</f>
        <v>0</v>
      </c>
      <c r="CR28" s="7">
        <f>CK28+CM28+CO28</f>
        <v>0</v>
      </c>
      <c r="CS28" s="7">
        <f>CL28+CN28+CQ28</f>
        <v>0</v>
      </c>
      <c r="CT28" s="36"/>
      <c r="CU28" s="36"/>
      <c r="CV28" s="7">
        <f>CT28+CU28</f>
        <v>0</v>
      </c>
      <c r="CW28" s="36"/>
      <c r="CX28" s="36"/>
      <c r="CY28" s="7">
        <f>CW28+CX28</f>
        <v>0</v>
      </c>
      <c r="CZ28" s="36"/>
      <c r="DA28" s="36"/>
      <c r="DB28" s="7">
        <f>CZ28+DA28</f>
        <v>0</v>
      </c>
      <c r="DC28" s="36"/>
      <c r="DD28" s="7">
        <f>DC28</f>
        <v>0</v>
      </c>
      <c r="DE28" s="36"/>
      <c r="DF28" s="7">
        <f>DE28</f>
        <v>0</v>
      </c>
      <c r="DG28" s="36"/>
      <c r="DH28" s="7">
        <f>DG28</f>
        <v>0</v>
      </c>
      <c r="DI28" s="36"/>
      <c r="DJ28" s="7">
        <f>DI28</f>
        <v>0</v>
      </c>
      <c r="DK28" s="36"/>
      <c r="DL28" s="7">
        <f>DK28</f>
        <v>0</v>
      </c>
      <c r="DM28" s="36"/>
      <c r="DN28" s="7">
        <f>DM28</f>
        <v>0</v>
      </c>
      <c r="DO28" s="36"/>
      <c r="DP28" s="14">
        <f>CK28+CM28+CO28+CT28+CW28+CZ28+DC28+DE28+DG28+DI28+DK28+DM28</f>
        <v>0</v>
      </c>
      <c r="DQ28" s="14">
        <f>CL28+CN28+CQ28+CV28+CY28+DB28</f>
        <v>0</v>
      </c>
      <c r="DR28" s="7"/>
      <c r="DS28" s="7">
        <f>AG28-DP28</f>
        <v>200000</v>
      </c>
      <c r="DT28" s="7">
        <f>AG28-DQ28</f>
        <v>200000</v>
      </c>
      <c r="DU28" s="15">
        <f>DP28/AG28</f>
        <v>0</v>
      </c>
      <c r="DV28" s="15">
        <f>DQ28/AG28</f>
        <v>0</v>
      </c>
      <c r="DW28" s="291"/>
      <c r="DX28" s="291"/>
      <c r="DY28" s="33"/>
      <c r="DZ28" s="36"/>
      <c r="EA28" s="109"/>
    </row>
    <row r="29" spans="1:131" s="1" customFormat="1" x14ac:dyDescent="0.25">
      <c r="A29" s="12" t="s">
        <v>564</v>
      </c>
      <c r="B29" s="24" t="s">
        <v>62</v>
      </c>
      <c r="C29" s="8" t="s">
        <v>227</v>
      </c>
      <c r="D29" s="24"/>
      <c r="E29" s="3">
        <v>255005</v>
      </c>
      <c r="F29" s="353">
        <v>6</v>
      </c>
      <c r="G29" s="359" t="s">
        <v>187</v>
      </c>
      <c r="H29" s="353">
        <v>1504</v>
      </c>
      <c r="I29" s="9" t="s">
        <v>13</v>
      </c>
      <c r="J29" s="10" t="s">
        <v>13</v>
      </c>
      <c r="K29" s="3"/>
      <c r="L29" s="11"/>
      <c r="M29" s="45"/>
      <c r="N29" s="11" t="s">
        <v>186</v>
      </c>
      <c r="O29" s="11" t="s">
        <v>189</v>
      </c>
      <c r="P29" s="11" t="s">
        <v>187</v>
      </c>
      <c r="Q29" s="11" t="s">
        <v>187</v>
      </c>
      <c r="R29" s="11">
        <v>280</v>
      </c>
      <c r="S29" s="11" t="s">
        <v>259</v>
      </c>
      <c r="T29" s="12" t="s">
        <v>26</v>
      </c>
      <c r="U29" s="12" t="s">
        <v>222</v>
      </c>
      <c r="V29" s="12"/>
      <c r="W29" s="12" t="s">
        <v>36</v>
      </c>
      <c r="X29" s="12" t="s">
        <v>13</v>
      </c>
      <c r="Y29" s="25" t="s">
        <v>70</v>
      </c>
      <c r="Z29" s="347"/>
      <c r="AA29" s="252" t="s">
        <v>165</v>
      </c>
      <c r="AB29" s="12" t="s">
        <v>697</v>
      </c>
      <c r="AC29" s="36"/>
      <c r="AD29" s="36"/>
      <c r="AE29" s="7"/>
      <c r="AF29" s="33"/>
      <c r="AG29" s="7"/>
      <c r="AH29" s="33"/>
      <c r="AI29" s="7"/>
      <c r="AJ29" s="409"/>
      <c r="AK29" s="27"/>
      <c r="AL29" s="36">
        <v>102199</v>
      </c>
      <c r="AM29" s="33">
        <f t="shared" si="28"/>
        <v>102199</v>
      </c>
      <c r="AN29" s="36">
        <v>0</v>
      </c>
      <c r="AO29" s="36"/>
      <c r="AP29" s="7">
        <f t="shared" si="29"/>
        <v>0</v>
      </c>
      <c r="AQ29" s="36"/>
      <c r="AR29" s="36"/>
      <c r="AS29" s="7">
        <f t="shared" si="30"/>
        <v>0</v>
      </c>
      <c r="AT29" s="36"/>
      <c r="AU29" s="36"/>
      <c r="AV29" s="7">
        <f t="shared" si="31"/>
        <v>0</v>
      </c>
      <c r="AW29" s="33"/>
      <c r="AX29" s="33"/>
      <c r="AY29" s="7">
        <f t="shared" si="1"/>
        <v>0</v>
      </c>
      <c r="AZ29" s="33"/>
      <c r="BA29" s="33"/>
      <c r="BB29" s="7"/>
      <c r="BC29" s="33"/>
      <c r="BD29" s="33"/>
      <c r="BE29" s="7"/>
      <c r="BF29" s="33"/>
      <c r="BG29" s="33"/>
      <c r="BH29" s="7"/>
      <c r="BI29" s="33"/>
      <c r="BJ29" s="33"/>
      <c r="BK29" s="7"/>
      <c r="BL29" s="33"/>
      <c r="BM29" s="33"/>
      <c r="BN29" s="7"/>
      <c r="BO29" s="33"/>
      <c r="BP29" s="33"/>
      <c r="BQ29" s="7"/>
      <c r="BR29" s="33"/>
      <c r="BS29" s="33"/>
      <c r="BT29" s="7"/>
      <c r="BU29" s="33"/>
      <c r="BV29" s="33"/>
      <c r="BW29" s="7"/>
      <c r="BX29" s="33"/>
      <c r="BY29" s="7">
        <f t="shared" si="18"/>
        <v>0</v>
      </c>
      <c r="BZ29" s="7">
        <f t="shared" si="19"/>
        <v>0</v>
      </c>
      <c r="CA29" s="33"/>
      <c r="CB29" s="7">
        <f t="shared" si="20"/>
        <v>102199</v>
      </c>
      <c r="CC29" s="7">
        <f t="shared" si="21"/>
        <v>102199</v>
      </c>
      <c r="CD29" s="15">
        <f t="shared" si="22"/>
        <v>0</v>
      </c>
      <c r="CE29" s="15">
        <f t="shared" si="23"/>
        <v>0</v>
      </c>
      <c r="CF29" s="451" t="s">
        <v>685</v>
      </c>
      <c r="CG29" s="36"/>
      <c r="CH29" s="33"/>
      <c r="CI29" s="33"/>
      <c r="CJ29" s="33"/>
      <c r="CK29" s="36"/>
      <c r="CL29" s="7"/>
      <c r="CM29" s="36"/>
      <c r="CN29" s="7"/>
      <c r="CO29" s="36"/>
      <c r="CP29" s="36"/>
      <c r="CQ29" s="7"/>
      <c r="CR29" s="7"/>
      <c r="CS29" s="7"/>
      <c r="CT29" s="36"/>
      <c r="CU29" s="36"/>
      <c r="CV29" s="7"/>
      <c r="CW29" s="36"/>
      <c r="CX29" s="36"/>
      <c r="CY29" s="7"/>
      <c r="CZ29" s="36"/>
      <c r="DA29" s="36"/>
      <c r="DB29" s="7"/>
      <c r="DC29" s="36"/>
      <c r="DD29" s="7"/>
      <c r="DE29" s="36"/>
      <c r="DF29" s="7"/>
      <c r="DG29" s="36"/>
      <c r="DH29" s="7"/>
      <c r="DI29" s="36"/>
      <c r="DJ29" s="7"/>
      <c r="DK29" s="36"/>
      <c r="DL29" s="7"/>
      <c r="DM29" s="36"/>
      <c r="DN29" s="7"/>
      <c r="DO29" s="36"/>
      <c r="DP29" s="14"/>
      <c r="DQ29" s="14"/>
      <c r="DR29" s="7"/>
      <c r="DS29" s="7"/>
      <c r="DT29" s="7"/>
      <c r="DU29" s="15"/>
      <c r="DV29" s="15"/>
      <c r="DW29" s="291"/>
      <c r="DX29" s="291"/>
      <c r="DY29" s="33"/>
      <c r="DZ29" s="36"/>
      <c r="EA29" s="109"/>
    </row>
    <row r="30" spans="1:131" s="1" customFormat="1" x14ac:dyDescent="0.25">
      <c r="A30" s="12" t="s">
        <v>564</v>
      </c>
      <c r="B30" s="24" t="s">
        <v>62</v>
      </c>
      <c r="C30" s="8" t="s">
        <v>227</v>
      </c>
      <c r="D30" s="24"/>
      <c r="E30" s="3">
        <v>255005</v>
      </c>
      <c r="F30" s="353">
        <v>6</v>
      </c>
      <c r="G30" s="359" t="s">
        <v>187</v>
      </c>
      <c r="H30" s="353">
        <v>1505</v>
      </c>
      <c r="I30" s="9" t="s">
        <v>13</v>
      </c>
      <c r="J30" s="10" t="s">
        <v>13</v>
      </c>
      <c r="K30" s="3"/>
      <c r="L30" s="11"/>
      <c r="M30" s="45"/>
      <c r="N30" s="11" t="s">
        <v>186</v>
      </c>
      <c r="O30" s="11" t="s">
        <v>189</v>
      </c>
      <c r="P30" s="11" t="s">
        <v>187</v>
      </c>
      <c r="Q30" s="11" t="s">
        <v>187</v>
      </c>
      <c r="R30" s="11">
        <v>280</v>
      </c>
      <c r="S30" s="11" t="s">
        <v>259</v>
      </c>
      <c r="T30" s="12" t="s">
        <v>26</v>
      </c>
      <c r="U30" s="12" t="s">
        <v>222</v>
      </c>
      <c r="V30" s="12"/>
      <c r="W30" s="12" t="s">
        <v>36</v>
      </c>
      <c r="X30" s="12" t="s">
        <v>13</v>
      </c>
      <c r="Y30" s="25" t="s">
        <v>100</v>
      </c>
      <c r="Z30" s="347"/>
      <c r="AA30" s="252" t="s">
        <v>702</v>
      </c>
      <c r="AB30" s="12" t="s">
        <v>697</v>
      </c>
      <c r="AC30" s="36"/>
      <c r="AD30" s="36"/>
      <c r="AE30" s="7"/>
      <c r="AF30" s="33"/>
      <c r="AG30" s="7"/>
      <c r="AH30" s="33"/>
      <c r="AI30" s="7"/>
      <c r="AJ30" s="409"/>
      <c r="AK30" s="27"/>
      <c r="AL30" s="36">
        <v>200000</v>
      </c>
      <c r="AM30" s="33">
        <f t="shared" si="28"/>
        <v>200000</v>
      </c>
      <c r="AN30" s="36"/>
      <c r="AO30" s="36"/>
      <c r="AP30" s="7">
        <f t="shared" si="29"/>
        <v>0</v>
      </c>
      <c r="AQ30" s="36"/>
      <c r="AR30" s="36"/>
      <c r="AS30" s="7">
        <f t="shared" si="30"/>
        <v>0</v>
      </c>
      <c r="AT30" s="36"/>
      <c r="AU30" s="36"/>
      <c r="AV30" s="7">
        <f t="shared" si="31"/>
        <v>0</v>
      </c>
      <c r="AW30" s="33"/>
      <c r="AX30" s="33"/>
      <c r="AY30" s="7">
        <f t="shared" si="1"/>
        <v>0</v>
      </c>
      <c r="AZ30" s="33"/>
      <c r="BA30" s="33"/>
      <c r="BB30" s="7"/>
      <c r="BC30" s="33"/>
      <c r="BD30" s="33"/>
      <c r="BE30" s="7"/>
      <c r="BF30" s="33"/>
      <c r="BG30" s="33"/>
      <c r="BH30" s="7"/>
      <c r="BI30" s="33"/>
      <c r="BJ30" s="33"/>
      <c r="BK30" s="7"/>
      <c r="BL30" s="33"/>
      <c r="BM30" s="33"/>
      <c r="BN30" s="7"/>
      <c r="BO30" s="33"/>
      <c r="BP30" s="33"/>
      <c r="BQ30" s="7"/>
      <c r="BR30" s="33"/>
      <c r="BS30" s="33"/>
      <c r="BT30" s="7"/>
      <c r="BU30" s="33"/>
      <c r="BV30" s="33"/>
      <c r="BW30" s="7"/>
      <c r="BX30" s="33"/>
      <c r="BY30" s="7">
        <f t="shared" si="18"/>
        <v>0</v>
      </c>
      <c r="BZ30" s="7">
        <f t="shared" si="19"/>
        <v>0</v>
      </c>
      <c r="CA30" s="33"/>
      <c r="CB30" s="7">
        <f t="shared" si="20"/>
        <v>200000</v>
      </c>
      <c r="CC30" s="7">
        <f t="shared" si="21"/>
        <v>200000</v>
      </c>
      <c r="CD30" s="15">
        <f t="shared" si="22"/>
        <v>0</v>
      </c>
      <c r="CE30" s="15">
        <f t="shared" si="23"/>
        <v>0</v>
      </c>
      <c r="CF30" s="451" t="s">
        <v>811</v>
      </c>
      <c r="CG30" s="36"/>
      <c r="CH30" s="33"/>
      <c r="CI30" s="33"/>
      <c r="CJ30" s="33"/>
      <c r="CK30" s="36"/>
      <c r="CL30" s="7"/>
      <c r="CM30" s="36"/>
      <c r="CN30" s="7"/>
      <c r="CO30" s="36"/>
      <c r="CP30" s="36"/>
      <c r="CQ30" s="7"/>
      <c r="CR30" s="7"/>
      <c r="CS30" s="7"/>
      <c r="CT30" s="36"/>
      <c r="CU30" s="36"/>
      <c r="CV30" s="7"/>
      <c r="CW30" s="36"/>
      <c r="CX30" s="36"/>
      <c r="CY30" s="7"/>
      <c r="CZ30" s="36"/>
      <c r="DA30" s="36"/>
      <c r="DB30" s="7"/>
      <c r="DC30" s="36"/>
      <c r="DD30" s="7"/>
      <c r="DE30" s="36"/>
      <c r="DF30" s="7"/>
      <c r="DG30" s="36"/>
      <c r="DH30" s="7"/>
      <c r="DI30" s="36"/>
      <c r="DJ30" s="7"/>
      <c r="DK30" s="36"/>
      <c r="DL30" s="7"/>
      <c r="DM30" s="36"/>
      <c r="DN30" s="7"/>
      <c r="DO30" s="36"/>
      <c r="DP30" s="14"/>
      <c r="DQ30" s="14"/>
      <c r="DR30" s="7"/>
      <c r="DS30" s="7"/>
      <c r="DT30" s="7"/>
      <c r="DU30" s="15"/>
      <c r="DV30" s="15"/>
      <c r="DW30" s="291"/>
      <c r="DX30" s="291"/>
      <c r="DY30" s="33"/>
      <c r="DZ30" s="36"/>
      <c r="EA30" s="109"/>
    </row>
    <row r="31" spans="1:131" s="1" customFormat="1" hidden="1" x14ac:dyDescent="0.25">
      <c r="A31" s="12" t="s">
        <v>564</v>
      </c>
      <c r="B31" s="12" t="s">
        <v>171</v>
      </c>
      <c r="C31" s="8" t="s">
        <v>643</v>
      </c>
      <c r="D31" s="12"/>
      <c r="E31" s="3">
        <v>250005</v>
      </c>
      <c r="F31" s="3" t="s">
        <v>583</v>
      </c>
      <c r="G31" s="3">
        <v>35</v>
      </c>
      <c r="H31" s="3">
        <v>1501</v>
      </c>
      <c r="I31" s="12" t="s">
        <v>13</v>
      </c>
      <c r="J31" s="10" t="s">
        <v>13</v>
      </c>
      <c r="K31" s="3">
        <v>4</v>
      </c>
      <c r="L31" s="3">
        <v>35</v>
      </c>
      <c r="M31" s="45"/>
      <c r="N31" s="3" t="s">
        <v>186</v>
      </c>
      <c r="O31" s="3" t="s">
        <v>189</v>
      </c>
      <c r="P31" s="11" t="s">
        <v>187</v>
      </c>
      <c r="Q31" s="11" t="s">
        <v>187</v>
      </c>
      <c r="R31" s="11" t="s">
        <v>193</v>
      </c>
      <c r="S31" s="3" t="s">
        <v>188</v>
      </c>
      <c r="T31" s="12" t="s">
        <v>110</v>
      </c>
      <c r="U31" s="12" t="s">
        <v>222</v>
      </c>
      <c r="V31" s="12"/>
      <c r="W31" s="12" t="s">
        <v>36</v>
      </c>
      <c r="X31" s="12" t="s">
        <v>13</v>
      </c>
      <c r="Y31" s="25" t="s">
        <v>69</v>
      </c>
      <c r="Z31" s="25" t="s">
        <v>142</v>
      </c>
      <c r="AA31" s="9" t="s">
        <v>173</v>
      </c>
      <c r="AB31" s="110" t="s">
        <v>496</v>
      </c>
      <c r="AC31" s="33">
        <v>2100000</v>
      </c>
      <c r="AD31" s="33"/>
      <c r="AE31" s="7">
        <f>AC31+AD31</f>
        <v>2100000</v>
      </c>
      <c r="AF31" s="33"/>
      <c r="AG31" s="7">
        <f t="shared" si="24"/>
        <v>2100000</v>
      </c>
      <c r="AH31" s="33"/>
      <c r="AI31" s="7">
        <f t="shared" si="25"/>
        <v>2100000</v>
      </c>
      <c r="AJ31" s="409"/>
      <c r="AK31" s="7">
        <v>10068500</v>
      </c>
      <c r="AL31" s="33">
        <v>-10068500</v>
      </c>
      <c r="AM31" s="33">
        <f t="shared" si="28"/>
        <v>0</v>
      </c>
      <c r="AN31" s="33">
        <v>0</v>
      </c>
      <c r="AO31" s="33">
        <v>0</v>
      </c>
      <c r="AP31" s="7">
        <f>AN31+AO31</f>
        <v>0</v>
      </c>
      <c r="AQ31" s="33"/>
      <c r="AR31" s="33"/>
      <c r="AS31" s="7">
        <f t="shared" si="30"/>
        <v>0</v>
      </c>
      <c r="AT31" s="33"/>
      <c r="AU31" s="33"/>
      <c r="AV31" s="7">
        <f t="shared" si="31"/>
        <v>0</v>
      </c>
      <c r="AW31" s="33"/>
      <c r="AX31" s="33"/>
      <c r="AY31" s="7">
        <f t="shared" si="1"/>
        <v>0</v>
      </c>
      <c r="AZ31" s="33"/>
      <c r="BA31" s="33"/>
      <c r="BB31" s="7">
        <f t="shared" si="32"/>
        <v>0</v>
      </c>
      <c r="BC31" s="33"/>
      <c r="BD31" s="33"/>
      <c r="BE31" s="7">
        <f t="shared" si="33"/>
        <v>0</v>
      </c>
      <c r="BF31" s="33"/>
      <c r="BG31" s="33"/>
      <c r="BH31" s="7">
        <f t="shared" si="34"/>
        <v>0</v>
      </c>
      <c r="BI31" s="33"/>
      <c r="BJ31" s="33"/>
      <c r="BK31" s="7">
        <f t="shared" si="35"/>
        <v>0</v>
      </c>
      <c r="BL31" s="33"/>
      <c r="BM31" s="33"/>
      <c r="BN31" s="7">
        <f t="shared" si="36"/>
        <v>0</v>
      </c>
      <c r="BO31" s="33"/>
      <c r="BP31" s="33"/>
      <c r="BQ31" s="7">
        <f t="shared" si="37"/>
        <v>0</v>
      </c>
      <c r="BR31" s="33"/>
      <c r="BS31" s="33"/>
      <c r="BT31" s="7">
        <f t="shared" si="38"/>
        <v>0</v>
      </c>
      <c r="BU31" s="33"/>
      <c r="BV31" s="33"/>
      <c r="BW31" s="7">
        <f t="shared" si="39"/>
        <v>0</v>
      </c>
      <c r="BX31" s="33"/>
      <c r="BY31" s="7">
        <f t="shared" si="18"/>
        <v>0</v>
      </c>
      <c r="BZ31" s="7">
        <f t="shared" si="19"/>
        <v>0</v>
      </c>
      <c r="CA31" s="33"/>
      <c r="CB31" s="7">
        <f t="shared" si="20"/>
        <v>0</v>
      </c>
      <c r="CC31" s="7">
        <f t="shared" si="21"/>
        <v>0</v>
      </c>
      <c r="CD31" s="15" t="e">
        <f t="shared" si="22"/>
        <v>#DIV/0!</v>
      </c>
      <c r="CE31" s="15" t="e">
        <f t="shared" si="23"/>
        <v>#DIV/0!</v>
      </c>
      <c r="CF31" s="451"/>
      <c r="CG31" s="33">
        <v>13068500</v>
      </c>
      <c r="CH31" s="33">
        <v>0</v>
      </c>
      <c r="CI31" s="33"/>
      <c r="CJ31" s="33"/>
      <c r="CK31" s="33"/>
      <c r="CL31" s="7">
        <f>CK31</f>
        <v>0</v>
      </c>
      <c r="CM31" s="33"/>
      <c r="CN31" s="7">
        <f>CM31</f>
        <v>0</v>
      </c>
      <c r="CO31" s="33"/>
      <c r="CP31" s="33"/>
      <c r="CQ31" s="7">
        <f>CO31+CP31</f>
        <v>0</v>
      </c>
      <c r="CR31" s="7">
        <f>CK31+CM31+CO31</f>
        <v>0</v>
      </c>
      <c r="CS31" s="7">
        <f>CL31+CN31+CQ31</f>
        <v>0</v>
      </c>
      <c r="CT31" s="33"/>
      <c r="CU31" s="33"/>
      <c r="CV31" s="7">
        <f>CT31+CU31</f>
        <v>0</v>
      </c>
      <c r="CW31" s="33">
        <v>33675</v>
      </c>
      <c r="CX31" s="33"/>
      <c r="CY31" s="7">
        <f>CW31+CX31</f>
        <v>33675</v>
      </c>
      <c r="CZ31" s="33">
        <v>53800</v>
      </c>
      <c r="DA31" s="33"/>
      <c r="DB31" s="7">
        <f>CZ31+DA31</f>
        <v>53800</v>
      </c>
      <c r="DC31" s="33"/>
      <c r="DD31" s="7">
        <f>DC31</f>
        <v>0</v>
      </c>
      <c r="DE31" s="33"/>
      <c r="DF31" s="7">
        <f>DE31</f>
        <v>0</v>
      </c>
      <c r="DG31" s="33"/>
      <c r="DH31" s="7">
        <f>DG31</f>
        <v>0</v>
      </c>
      <c r="DI31" s="33"/>
      <c r="DJ31" s="7">
        <f>DI31</f>
        <v>0</v>
      </c>
      <c r="DK31" s="33"/>
      <c r="DL31" s="7">
        <f>DK31</f>
        <v>0</v>
      </c>
      <c r="DM31" s="33"/>
      <c r="DN31" s="7">
        <f>DM31</f>
        <v>0</v>
      </c>
      <c r="DO31" s="33"/>
      <c r="DP31" s="14">
        <f>CK31+CM31+CO31+CT31+CW31+CZ31+DC31+DE31+DG31+DI31+DK31+DM31</f>
        <v>87475</v>
      </c>
      <c r="DQ31" s="14">
        <f>CL31+CN31+CQ31+CV31+CY31+DB31</f>
        <v>87475</v>
      </c>
      <c r="DR31" s="7"/>
      <c r="DS31" s="7">
        <f>AG31-DP31</f>
        <v>2012525</v>
      </c>
      <c r="DT31" s="7">
        <f>AG31-DQ31</f>
        <v>2012525</v>
      </c>
      <c r="DU31" s="15">
        <f>DP31/AG31</f>
        <v>4.1654761904761903E-2</v>
      </c>
      <c r="DV31" s="15">
        <f>DQ31/AG31</f>
        <v>4.1654761904761903E-2</v>
      </c>
      <c r="DW31" s="291"/>
      <c r="DX31" s="291"/>
      <c r="DY31" s="33"/>
      <c r="DZ31" s="36"/>
      <c r="EA31" s="109"/>
    </row>
    <row r="32" spans="1:131" s="1" customFormat="1" ht="30.75" x14ac:dyDescent="0.25">
      <c r="A32" s="12" t="s">
        <v>564</v>
      </c>
      <c r="B32" s="24" t="s">
        <v>62</v>
      </c>
      <c r="C32" s="8" t="s">
        <v>227</v>
      </c>
      <c r="D32" s="24"/>
      <c r="E32" s="3">
        <v>255005</v>
      </c>
      <c r="F32" s="353" t="s">
        <v>583</v>
      </c>
      <c r="G32" s="353">
        <v>35</v>
      </c>
      <c r="H32" s="353">
        <v>1502</v>
      </c>
      <c r="I32" s="9" t="s">
        <v>13</v>
      </c>
      <c r="J32" s="10" t="s">
        <v>13</v>
      </c>
      <c r="K32" s="3">
        <v>4</v>
      </c>
      <c r="L32" s="3">
        <v>35</v>
      </c>
      <c r="M32" s="45"/>
      <c r="N32" s="3" t="s">
        <v>186</v>
      </c>
      <c r="O32" s="3" t="s">
        <v>189</v>
      </c>
      <c r="P32" s="11" t="s">
        <v>187</v>
      </c>
      <c r="Q32" s="11" t="s">
        <v>187</v>
      </c>
      <c r="R32" s="11" t="s">
        <v>193</v>
      </c>
      <c r="S32" s="3" t="s">
        <v>188</v>
      </c>
      <c r="T32" s="12" t="s">
        <v>110</v>
      </c>
      <c r="U32" s="12" t="s">
        <v>222</v>
      </c>
      <c r="V32" s="12"/>
      <c r="W32" s="12" t="s">
        <v>36</v>
      </c>
      <c r="X32" s="12" t="s">
        <v>13</v>
      </c>
      <c r="Y32" s="25" t="s">
        <v>69</v>
      </c>
      <c r="Z32" s="25">
        <v>13</v>
      </c>
      <c r="AA32" s="10" t="s">
        <v>527</v>
      </c>
      <c r="AB32" s="110" t="s">
        <v>38</v>
      </c>
      <c r="AC32" s="36">
        <v>11684600</v>
      </c>
      <c r="AD32" s="36"/>
      <c r="AE32" s="7">
        <f t="shared" ref="AE32:AE40" si="43">AC32+AD32</f>
        <v>11684600</v>
      </c>
      <c r="AF32" s="33"/>
      <c r="AG32" s="7">
        <f t="shared" si="24"/>
        <v>11684600</v>
      </c>
      <c r="AH32" s="33"/>
      <c r="AI32" s="7">
        <f t="shared" si="25"/>
        <v>11684600</v>
      </c>
      <c r="AJ32" s="409"/>
      <c r="AK32" s="27">
        <v>7000000</v>
      </c>
      <c r="AL32" s="36"/>
      <c r="AM32" s="33">
        <f t="shared" si="28"/>
        <v>7000000</v>
      </c>
      <c r="AN32" s="33">
        <v>0</v>
      </c>
      <c r="AO32" s="33">
        <v>0</v>
      </c>
      <c r="AP32" s="7">
        <f t="shared" si="29"/>
        <v>0</v>
      </c>
      <c r="AQ32" s="36"/>
      <c r="AR32" s="36"/>
      <c r="AS32" s="7">
        <f t="shared" si="30"/>
        <v>0</v>
      </c>
      <c r="AT32" s="36">
        <v>1519732.96</v>
      </c>
      <c r="AU32" s="36"/>
      <c r="AV32" s="7">
        <f t="shared" si="31"/>
        <v>1519732.96</v>
      </c>
      <c r="AW32" s="33">
        <v>3175774.64</v>
      </c>
      <c r="AX32" s="33"/>
      <c r="AY32" s="7">
        <f t="shared" si="1"/>
        <v>3175774.64</v>
      </c>
      <c r="AZ32" s="33"/>
      <c r="BA32" s="33"/>
      <c r="BB32" s="7">
        <f t="shared" si="32"/>
        <v>0</v>
      </c>
      <c r="BC32" s="33"/>
      <c r="BD32" s="33"/>
      <c r="BE32" s="7">
        <f t="shared" si="33"/>
        <v>0</v>
      </c>
      <c r="BF32" s="33"/>
      <c r="BG32" s="33"/>
      <c r="BH32" s="7">
        <f t="shared" si="34"/>
        <v>0</v>
      </c>
      <c r="BI32" s="33"/>
      <c r="BJ32" s="33"/>
      <c r="BK32" s="7">
        <f t="shared" si="35"/>
        <v>0</v>
      </c>
      <c r="BL32" s="33"/>
      <c r="BM32" s="33"/>
      <c r="BN32" s="7">
        <f t="shared" si="36"/>
        <v>0</v>
      </c>
      <c r="BO32" s="33"/>
      <c r="BP32" s="33"/>
      <c r="BQ32" s="7">
        <f t="shared" si="37"/>
        <v>0</v>
      </c>
      <c r="BR32" s="33"/>
      <c r="BS32" s="33"/>
      <c r="BT32" s="7">
        <f t="shared" si="38"/>
        <v>0</v>
      </c>
      <c r="BU32" s="33"/>
      <c r="BV32" s="33"/>
      <c r="BW32" s="7">
        <f t="shared" si="39"/>
        <v>0</v>
      </c>
      <c r="BX32" s="33"/>
      <c r="BY32" s="7">
        <f t="shared" si="18"/>
        <v>4695507.5999999996</v>
      </c>
      <c r="BZ32" s="7">
        <f t="shared" si="19"/>
        <v>4695507.5999999996</v>
      </c>
      <c r="CA32" s="33"/>
      <c r="CB32" s="7">
        <f t="shared" si="20"/>
        <v>2304492.4000000004</v>
      </c>
      <c r="CC32" s="7">
        <f t="shared" si="21"/>
        <v>2304492.4000000004</v>
      </c>
      <c r="CD32" s="15">
        <f t="shared" si="22"/>
        <v>0.67078679999999991</v>
      </c>
      <c r="CE32" s="15">
        <f t="shared" si="23"/>
        <v>0.67078679999999991</v>
      </c>
      <c r="CF32" s="451" t="s">
        <v>838</v>
      </c>
      <c r="CG32" s="36">
        <v>15000000</v>
      </c>
      <c r="CH32" s="33">
        <v>20000000</v>
      </c>
      <c r="CI32" s="33">
        <v>10000000</v>
      </c>
      <c r="CJ32" s="33">
        <v>10000000</v>
      </c>
      <c r="CK32" s="36"/>
      <c r="CL32" s="7">
        <f t="shared" ref="CL32:CL40" si="44">CK32</f>
        <v>0</v>
      </c>
      <c r="CM32" s="36"/>
      <c r="CN32" s="7">
        <f t="shared" ref="CN32:CN40" si="45">CM32</f>
        <v>0</v>
      </c>
      <c r="CO32" s="36"/>
      <c r="CP32" s="36"/>
      <c r="CQ32" s="7">
        <f t="shared" ref="CQ32:CQ40" si="46">CO32+CP32</f>
        <v>0</v>
      </c>
      <c r="CR32" s="7">
        <f t="shared" ref="CR32:CR40" si="47">CK32+CM32+CO32</f>
        <v>0</v>
      </c>
      <c r="CS32" s="7">
        <f t="shared" ref="CS32:CS40" si="48">CL32+CN32+CQ32</f>
        <v>0</v>
      </c>
      <c r="CT32" s="36"/>
      <c r="CU32" s="36"/>
      <c r="CV32" s="7">
        <f t="shared" ref="CV32:CV40" si="49">CT32+CU32</f>
        <v>0</v>
      </c>
      <c r="CW32" s="36"/>
      <c r="CX32" s="36"/>
      <c r="CY32" s="7">
        <f t="shared" ref="CY32:CY40" si="50">CW32+CX32</f>
        <v>0</v>
      </c>
      <c r="CZ32" s="36"/>
      <c r="DA32" s="36"/>
      <c r="DB32" s="7">
        <f t="shared" ref="DB32:DB45" si="51">CZ32+DA32</f>
        <v>0</v>
      </c>
      <c r="DC32" s="36"/>
      <c r="DD32" s="7">
        <f t="shared" ref="DD32:DD40" si="52">DC32</f>
        <v>0</v>
      </c>
      <c r="DE32" s="36"/>
      <c r="DF32" s="7">
        <f t="shared" ref="DF32:DF40" si="53">DE32</f>
        <v>0</v>
      </c>
      <c r="DG32" s="36"/>
      <c r="DH32" s="7">
        <f t="shared" ref="DH32:DH40" si="54">DG32</f>
        <v>0</v>
      </c>
      <c r="DI32" s="36"/>
      <c r="DJ32" s="7">
        <f t="shared" ref="DJ32:DJ40" si="55">DI32</f>
        <v>0</v>
      </c>
      <c r="DK32" s="36"/>
      <c r="DL32" s="7">
        <f t="shared" ref="DL32:DL40" si="56">DK32</f>
        <v>0</v>
      </c>
      <c r="DM32" s="36"/>
      <c r="DN32" s="7">
        <f t="shared" ref="DN32:DN40" si="57">DM32</f>
        <v>0</v>
      </c>
      <c r="DO32" s="36">
        <v>8771929.8200000003</v>
      </c>
      <c r="DP32" s="14">
        <f t="shared" ref="DP32:DP40" si="58">CK32+CM32+CO32+CT32+CW32+CZ32+DC32+DE32+DG32+DI32+DK32+DM32</f>
        <v>0</v>
      </c>
      <c r="DQ32" s="14">
        <f t="shared" ref="DQ32:DQ45" si="59">CL32+CN32+CQ32+CV32+CY32+DB32</f>
        <v>0</v>
      </c>
      <c r="DR32" s="7"/>
      <c r="DS32" s="7">
        <f t="shared" ref="DS32:DS45" si="60">AG32-DP32</f>
        <v>11684600</v>
      </c>
      <c r="DT32" s="7">
        <f t="shared" ref="DT32:DT45" si="61">AG32-DQ32</f>
        <v>11684600</v>
      </c>
      <c r="DU32" s="15">
        <f t="shared" ref="DU32:DU45" si="62">DP32/AG32</f>
        <v>0</v>
      </c>
      <c r="DV32" s="15">
        <f t="shared" ref="DV32:DV45" si="63">DQ32/AG32</f>
        <v>0</v>
      </c>
      <c r="DW32" s="291"/>
      <c r="DX32" s="291"/>
      <c r="DY32" s="33"/>
      <c r="DZ32" s="36"/>
      <c r="EA32" s="109"/>
    </row>
    <row r="33" spans="1:131" s="1" customFormat="1" ht="30.75" x14ac:dyDescent="0.25">
      <c r="A33" s="12" t="s">
        <v>564</v>
      </c>
      <c r="B33" s="24" t="s">
        <v>62</v>
      </c>
      <c r="C33" s="8" t="s">
        <v>227</v>
      </c>
      <c r="D33" s="24"/>
      <c r="E33" s="3">
        <v>255005</v>
      </c>
      <c r="F33" s="353">
        <v>6</v>
      </c>
      <c r="G33" s="353">
        <v>35</v>
      </c>
      <c r="H33" s="353">
        <v>1502</v>
      </c>
      <c r="I33" s="9" t="s">
        <v>13</v>
      </c>
      <c r="J33" s="10" t="s">
        <v>13</v>
      </c>
      <c r="K33" s="3"/>
      <c r="L33" s="3"/>
      <c r="M33" s="45"/>
      <c r="N33" s="3" t="s">
        <v>186</v>
      </c>
      <c r="O33" s="3" t="s">
        <v>189</v>
      </c>
      <c r="P33" s="11" t="s">
        <v>187</v>
      </c>
      <c r="Q33" s="11" t="s">
        <v>187</v>
      </c>
      <c r="R33" s="11" t="s">
        <v>193</v>
      </c>
      <c r="S33" s="11" t="s">
        <v>259</v>
      </c>
      <c r="T33" s="12" t="s">
        <v>110</v>
      </c>
      <c r="U33" s="12" t="s">
        <v>222</v>
      </c>
      <c r="V33" s="12"/>
      <c r="W33" s="12" t="s">
        <v>36</v>
      </c>
      <c r="X33" s="12" t="s">
        <v>13</v>
      </c>
      <c r="Y33" s="25" t="s">
        <v>70</v>
      </c>
      <c r="Z33" s="25">
        <v>13</v>
      </c>
      <c r="AA33" s="10" t="s">
        <v>159</v>
      </c>
      <c r="AB33" s="110" t="s">
        <v>703</v>
      </c>
      <c r="AC33" s="36"/>
      <c r="AD33" s="36"/>
      <c r="AE33" s="7"/>
      <c r="AF33" s="33"/>
      <c r="AG33" s="7"/>
      <c r="AH33" s="33"/>
      <c r="AI33" s="7"/>
      <c r="AJ33" s="409"/>
      <c r="AK33" s="27"/>
      <c r="AL33" s="36">
        <v>5104919</v>
      </c>
      <c r="AM33" s="33">
        <f t="shared" si="28"/>
        <v>5104919</v>
      </c>
      <c r="AN33" s="33"/>
      <c r="AO33" s="33"/>
      <c r="AP33" s="7">
        <f t="shared" si="29"/>
        <v>0</v>
      </c>
      <c r="AQ33" s="36"/>
      <c r="AR33" s="36"/>
      <c r="AS33" s="7">
        <f t="shared" si="30"/>
        <v>0</v>
      </c>
      <c r="AT33" s="36"/>
      <c r="AU33" s="36"/>
      <c r="AV33" s="7">
        <f t="shared" si="31"/>
        <v>0</v>
      </c>
      <c r="AW33" s="33"/>
      <c r="AX33" s="33"/>
      <c r="AY33" s="7">
        <f t="shared" si="1"/>
        <v>0</v>
      </c>
      <c r="AZ33" s="33"/>
      <c r="BA33" s="33"/>
      <c r="BB33" s="7"/>
      <c r="BC33" s="33"/>
      <c r="BD33" s="33"/>
      <c r="BE33" s="7"/>
      <c r="BF33" s="33"/>
      <c r="BG33" s="33"/>
      <c r="BH33" s="7"/>
      <c r="BI33" s="33"/>
      <c r="BJ33" s="33"/>
      <c r="BK33" s="7"/>
      <c r="BL33" s="33"/>
      <c r="BM33" s="33"/>
      <c r="BN33" s="7"/>
      <c r="BO33" s="33"/>
      <c r="BP33" s="33"/>
      <c r="BQ33" s="7"/>
      <c r="BR33" s="33"/>
      <c r="BS33" s="33"/>
      <c r="BT33" s="7"/>
      <c r="BU33" s="33"/>
      <c r="BV33" s="33"/>
      <c r="BW33" s="7"/>
      <c r="BX33" s="33"/>
      <c r="BY33" s="7">
        <f t="shared" si="18"/>
        <v>0</v>
      </c>
      <c r="BZ33" s="7">
        <f t="shared" si="19"/>
        <v>0</v>
      </c>
      <c r="CA33" s="33"/>
      <c r="CB33" s="7">
        <f t="shared" si="20"/>
        <v>5104919</v>
      </c>
      <c r="CC33" s="7">
        <f t="shared" si="21"/>
        <v>5104919</v>
      </c>
      <c r="CD33" s="15">
        <f t="shared" si="22"/>
        <v>0</v>
      </c>
      <c r="CE33" s="15">
        <f t="shared" si="23"/>
        <v>0</v>
      </c>
      <c r="CF33" s="451" t="s">
        <v>838</v>
      </c>
      <c r="CG33" s="36"/>
      <c r="CH33" s="33"/>
      <c r="CI33" s="33"/>
      <c r="CJ33" s="33"/>
      <c r="CK33" s="36"/>
      <c r="CL33" s="7"/>
      <c r="CM33" s="36"/>
      <c r="CN33" s="7"/>
      <c r="CO33" s="36"/>
      <c r="CP33" s="36"/>
      <c r="CQ33" s="7"/>
      <c r="CR33" s="7"/>
      <c r="CS33" s="7"/>
      <c r="CT33" s="36"/>
      <c r="CU33" s="36"/>
      <c r="CV33" s="7"/>
      <c r="CW33" s="36"/>
      <c r="CX33" s="36"/>
      <c r="CY33" s="7"/>
      <c r="CZ33" s="36"/>
      <c r="DA33" s="36"/>
      <c r="DB33" s="7"/>
      <c r="DC33" s="36"/>
      <c r="DD33" s="7"/>
      <c r="DE33" s="36"/>
      <c r="DF33" s="7"/>
      <c r="DG33" s="36"/>
      <c r="DH33" s="7"/>
      <c r="DI33" s="36"/>
      <c r="DJ33" s="7"/>
      <c r="DK33" s="36"/>
      <c r="DL33" s="7"/>
      <c r="DM33" s="36"/>
      <c r="DN33" s="7"/>
      <c r="DO33" s="36"/>
      <c r="DP33" s="14"/>
      <c r="DQ33" s="14"/>
      <c r="DR33" s="7"/>
      <c r="DS33" s="7"/>
      <c r="DT33" s="7"/>
      <c r="DU33" s="15"/>
      <c r="DV33" s="15"/>
      <c r="DW33" s="291"/>
      <c r="DX33" s="291"/>
      <c r="DY33" s="33"/>
      <c r="DZ33" s="36"/>
      <c r="EA33" s="109"/>
    </row>
    <row r="34" spans="1:131" s="1" customFormat="1" x14ac:dyDescent="0.25">
      <c r="A34" s="12" t="s">
        <v>564</v>
      </c>
      <c r="B34" s="24" t="s">
        <v>62</v>
      </c>
      <c r="C34" s="8" t="s">
        <v>227</v>
      </c>
      <c r="D34" s="24"/>
      <c r="E34" s="3">
        <v>255005</v>
      </c>
      <c r="F34" s="353" t="s">
        <v>583</v>
      </c>
      <c r="G34" s="353">
        <v>35</v>
      </c>
      <c r="H34" s="353">
        <v>1503</v>
      </c>
      <c r="I34" s="9" t="s">
        <v>13</v>
      </c>
      <c r="J34" s="10" t="s">
        <v>13</v>
      </c>
      <c r="K34" s="3">
        <v>4</v>
      </c>
      <c r="L34" s="3">
        <v>35</v>
      </c>
      <c r="M34" s="45"/>
      <c r="N34" s="3" t="s">
        <v>186</v>
      </c>
      <c r="O34" s="3" t="s">
        <v>189</v>
      </c>
      <c r="P34" s="11" t="s">
        <v>187</v>
      </c>
      <c r="Q34" s="11" t="s">
        <v>187</v>
      </c>
      <c r="R34" s="11" t="s">
        <v>193</v>
      </c>
      <c r="S34" s="3" t="s">
        <v>188</v>
      </c>
      <c r="T34" s="12" t="s">
        <v>110</v>
      </c>
      <c r="U34" s="12" t="s">
        <v>222</v>
      </c>
      <c r="V34" s="12"/>
      <c r="W34" s="12" t="s">
        <v>36</v>
      </c>
      <c r="X34" s="12" t="s">
        <v>13</v>
      </c>
      <c r="Y34" s="25" t="s">
        <v>69</v>
      </c>
      <c r="Z34" s="25">
        <v>13</v>
      </c>
      <c r="AA34" s="10" t="s">
        <v>528</v>
      </c>
      <c r="AB34" s="110" t="s">
        <v>38</v>
      </c>
      <c r="AC34" s="36">
        <v>10000000</v>
      </c>
      <c r="AD34" s="36"/>
      <c r="AE34" s="7">
        <f t="shared" si="43"/>
        <v>10000000</v>
      </c>
      <c r="AF34" s="33"/>
      <c r="AG34" s="7">
        <f t="shared" si="24"/>
        <v>10000000</v>
      </c>
      <c r="AH34" s="33"/>
      <c r="AI34" s="7">
        <f t="shared" si="25"/>
        <v>10000000</v>
      </c>
      <c r="AJ34" s="409"/>
      <c r="AK34" s="27">
        <v>7000000</v>
      </c>
      <c r="AL34" s="36"/>
      <c r="AM34" s="33">
        <f t="shared" si="28"/>
        <v>7000000</v>
      </c>
      <c r="AN34" s="36">
        <v>2245000.06</v>
      </c>
      <c r="AO34" s="36">
        <v>0</v>
      </c>
      <c r="AP34" s="7">
        <f t="shared" si="29"/>
        <v>2245000.06</v>
      </c>
      <c r="AQ34" s="36">
        <v>3355847.36</v>
      </c>
      <c r="AR34" s="36"/>
      <c r="AS34" s="7">
        <f t="shared" si="30"/>
        <v>3355847.36</v>
      </c>
      <c r="AT34" s="36">
        <v>492390.71</v>
      </c>
      <c r="AU34" s="36"/>
      <c r="AV34" s="7">
        <f t="shared" si="31"/>
        <v>492390.71</v>
      </c>
      <c r="AW34" s="33">
        <v>173475.74</v>
      </c>
      <c r="AX34" s="33"/>
      <c r="AY34" s="7">
        <f t="shared" si="1"/>
        <v>173475.74</v>
      </c>
      <c r="AZ34" s="33"/>
      <c r="BA34" s="33"/>
      <c r="BB34" s="7">
        <f t="shared" si="32"/>
        <v>0</v>
      </c>
      <c r="BC34" s="33"/>
      <c r="BD34" s="33"/>
      <c r="BE34" s="7">
        <f t="shared" si="33"/>
        <v>0</v>
      </c>
      <c r="BF34" s="33"/>
      <c r="BG34" s="33"/>
      <c r="BH34" s="7">
        <f t="shared" si="34"/>
        <v>0</v>
      </c>
      <c r="BI34" s="33"/>
      <c r="BJ34" s="33"/>
      <c r="BK34" s="7">
        <f t="shared" si="35"/>
        <v>0</v>
      </c>
      <c r="BL34" s="33"/>
      <c r="BM34" s="33"/>
      <c r="BN34" s="7">
        <f t="shared" si="36"/>
        <v>0</v>
      </c>
      <c r="BO34" s="33"/>
      <c r="BP34" s="33"/>
      <c r="BQ34" s="7">
        <f t="shared" si="37"/>
        <v>0</v>
      </c>
      <c r="BR34" s="33"/>
      <c r="BS34" s="33"/>
      <c r="BT34" s="7">
        <f t="shared" si="38"/>
        <v>0</v>
      </c>
      <c r="BU34" s="33"/>
      <c r="BV34" s="33"/>
      <c r="BW34" s="7">
        <f t="shared" si="39"/>
        <v>0</v>
      </c>
      <c r="BX34" s="33"/>
      <c r="BY34" s="7">
        <f t="shared" si="18"/>
        <v>6266713.8700000001</v>
      </c>
      <c r="BZ34" s="7">
        <f t="shared" si="19"/>
        <v>6266713.8700000001</v>
      </c>
      <c r="CA34" s="33"/>
      <c r="CB34" s="7">
        <f t="shared" si="20"/>
        <v>733286.12999999989</v>
      </c>
      <c r="CC34" s="7">
        <f t="shared" si="21"/>
        <v>733286.12999999989</v>
      </c>
      <c r="CD34" s="15">
        <f t="shared" si="22"/>
        <v>0.89524483857142856</v>
      </c>
      <c r="CE34" s="15">
        <f t="shared" si="23"/>
        <v>0.89524483857142856</v>
      </c>
      <c r="CF34" s="451" t="s">
        <v>812</v>
      </c>
      <c r="CG34" s="36">
        <v>15000000</v>
      </c>
      <c r="CH34" s="33">
        <v>12000000</v>
      </c>
      <c r="CI34" s="33">
        <v>10000000</v>
      </c>
      <c r="CJ34" s="33">
        <v>7590000</v>
      </c>
      <c r="CK34" s="36"/>
      <c r="CL34" s="7">
        <f t="shared" si="44"/>
        <v>0</v>
      </c>
      <c r="CM34" s="36">
        <v>48240</v>
      </c>
      <c r="CN34" s="7">
        <f t="shared" si="45"/>
        <v>48240</v>
      </c>
      <c r="CO34" s="36"/>
      <c r="CP34" s="36"/>
      <c r="CQ34" s="7">
        <f t="shared" si="46"/>
        <v>0</v>
      </c>
      <c r="CR34" s="7">
        <f t="shared" si="47"/>
        <v>48240</v>
      </c>
      <c r="CS34" s="7">
        <f t="shared" si="48"/>
        <v>48240</v>
      </c>
      <c r="CT34" s="36"/>
      <c r="CU34" s="36"/>
      <c r="CV34" s="7">
        <f t="shared" si="49"/>
        <v>0</v>
      </c>
      <c r="CW34" s="36"/>
      <c r="CX34" s="36"/>
      <c r="CY34" s="7">
        <f t="shared" si="50"/>
        <v>0</v>
      </c>
      <c r="CZ34" s="36">
        <v>18152.900000000001</v>
      </c>
      <c r="DA34" s="36"/>
      <c r="DB34" s="7">
        <f t="shared" si="51"/>
        <v>18152.900000000001</v>
      </c>
      <c r="DC34" s="36"/>
      <c r="DD34" s="7">
        <f t="shared" si="52"/>
        <v>0</v>
      </c>
      <c r="DE34" s="36"/>
      <c r="DF34" s="7">
        <f t="shared" si="53"/>
        <v>0</v>
      </c>
      <c r="DG34" s="36"/>
      <c r="DH34" s="7">
        <f t="shared" si="54"/>
        <v>0</v>
      </c>
      <c r="DI34" s="36"/>
      <c r="DJ34" s="7">
        <f t="shared" si="55"/>
        <v>0</v>
      </c>
      <c r="DK34" s="36"/>
      <c r="DL34" s="7">
        <f t="shared" si="56"/>
        <v>0</v>
      </c>
      <c r="DM34" s="36"/>
      <c r="DN34" s="7">
        <f t="shared" si="57"/>
        <v>0</v>
      </c>
      <c r="DO34" s="36"/>
      <c r="DP34" s="14">
        <f t="shared" si="58"/>
        <v>66392.899999999994</v>
      </c>
      <c r="DQ34" s="14">
        <f t="shared" si="59"/>
        <v>66392.899999999994</v>
      </c>
      <c r="DR34" s="7"/>
      <c r="DS34" s="7">
        <f t="shared" si="60"/>
        <v>9933607.0999999996</v>
      </c>
      <c r="DT34" s="7">
        <f t="shared" si="61"/>
        <v>9933607.0999999996</v>
      </c>
      <c r="DU34" s="15">
        <f t="shared" si="62"/>
        <v>6.6392899999999991E-3</v>
      </c>
      <c r="DV34" s="15">
        <f t="shared" si="63"/>
        <v>6.6392899999999991E-3</v>
      </c>
      <c r="DW34" s="291"/>
      <c r="DX34" s="291"/>
      <c r="DY34" s="33"/>
      <c r="DZ34" s="36"/>
      <c r="EA34" s="308">
        <f>+AI34+AK34+CG34+CH34</f>
        <v>44000000</v>
      </c>
    </row>
    <row r="35" spans="1:131" s="1" customFormat="1" x14ac:dyDescent="0.25">
      <c r="A35" s="12" t="s">
        <v>564</v>
      </c>
      <c r="B35" s="24" t="s">
        <v>62</v>
      </c>
      <c r="C35" s="8" t="s">
        <v>227</v>
      </c>
      <c r="D35" s="24"/>
      <c r="E35" s="3">
        <v>255005</v>
      </c>
      <c r="F35" s="353">
        <v>6</v>
      </c>
      <c r="G35" s="353">
        <v>35</v>
      </c>
      <c r="H35" s="353">
        <v>1503</v>
      </c>
      <c r="I35" s="9" t="s">
        <v>13</v>
      </c>
      <c r="J35" s="10" t="s">
        <v>13</v>
      </c>
      <c r="K35" s="3"/>
      <c r="L35" s="3"/>
      <c r="M35" s="45"/>
      <c r="N35" s="3" t="s">
        <v>186</v>
      </c>
      <c r="O35" s="3" t="s">
        <v>189</v>
      </c>
      <c r="P35" s="11" t="s">
        <v>187</v>
      </c>
      <c r="Q35" s="11" t="s">
        <v>187</v>
      </c>
      <c r="R35" s="11" t="s">
        <v>193</v>
      </c>
      <c r="S35" s="11" t="s">
        <v>259</v>
      </c>
      <c r="T35" s="12" t="s">
        <v>110</v>
      </c>
      <c r="U35" s="12" t="s">
        <v>222</v>
      </c>
      <c r="V35" s="12"/>
      <c r="W35" s="12" t="s">
        <v>36</v>
      </c>
      <c r="X35" s="12" t="s">
        <v>13</v>
      </c>
      <c r="Y35" s="25" t="s">
        <v>69</v>
      </c>
      <c r="Z35" s="25">
        <v>13</v>
      </c>
      <c r="AA35" s="10" t="s">
        <v>705</v>
      </c>
      <c r="AB35" s="110" t="s">
        <v>703</v>
      </c>
      <c r="AC35" s="36"/>
      <c r="AD35" s="36"/>
      <c r="AE35" s="7"/>
      <c r="AF35" s="33"/>
      <c r="AG35" s="7"/>
      <c r="AH35" s="33"/>
      <c r="AI35" s="7"/>
      <c r="AJ35" s="409"/>
      <c r="AK35" s="27"/>
      <c r="AL35" s="36">
        <v>6922271</v>
      </c>
      <c r="AM35" s="33">
        <f t="shared" si="28"/>
        <v>6922271</v>
      </c>
      <c r="AN35" s="36"/>
      <c r="AO35" s="36"/>
      <c r="AP35" s="7">
        <f t="shared" si="29"/>
        <v>0</v>
      </c>
      <c r="AQ35" s="36"/>
      <c r="AR35" s="36"/>
      <c r="AS35" s="7">
        <f t="shared" si="30"/>
        <v>0</v>
      </c>
      <c r="AT35" s="36">
        <v>21421.49</v>
      </c>
      <c r="AU35" s="36"/>
      <c r="AV35" s="7">
        <f t="shared" si="31"/>
        <v>21421.49</v>
      </c>
      <c r="AW35" s="33">
        <v>6168337.1900000004</v>
      </c>
      <c r="AX35" s="33"/>
      <c r="AY35" s="7">
        <f t="shared" si="1"/>
        <v>6168337.1900000004</v>
      </c>
      <c r="AZ35" s="33"/>
      <c r="BA35" s="33"/>
      <c r="BB35" s="7"/>
      <c r="BC35" s="33"/>
      <c r="BD35" s="33"/>
      <c r="BE35" s="7"/>
      <c r="BF35" s="33"/>
      <c r="BG35" s="33"/>
      <c r="BH35" s="7"/>
      <c r="BI35" s="33"/>
      <c r="BJ35" s="33"/>
      <c r="BK35" s="7"/>
      <c r="BL35" s="33"/>
      <c r="BM35" s="33"/>
      <c r="BN35" s="7"/>
      <c r="BO35" s="33"/>
      <c r="BP35" s="33"/>
      <c r="BQ35" s="7"/>
      <c r="BR35" s="33"/>
      <c r="BS35" s="33"/>
      <c r="BT35" s="7"/>
      <c r="BU35" s="33"/>
      <c r="BV35" s="33"/>
      <c r="BW35" s="7"/>
      <c r="BX35" s="33"/>
      <c r="BY35" s="7">
        <f t="shared" si="18"/>
        <v>6189758.6800000006</v>
      </c>
      <c r="BZ35" s="7">
        <f t="shared" si="19"/>
        <v>6189758.6800000006</v>
      </c>
      <c r="CA35" s="33"/>
      <c r="CB35" s="7">
        <f t="shared" si="20"/>
        <v>732512.31999999937</v>
      </c>
      <c r="CC35" s="7">
        <f t="shared" si="21"/>
        <v>732512.31999999937</v>
      </c>
      <c r="CD35" s="15">
        <f t="shared" si="22"/>
        <v>0.89418034630542498</v>
      </c>
      <c r="CE35" s="15">
        <f t="shared" si="23"/>
        <v>0.89418034630542498</v>
      </c>
      <c r="CF35" s="451" t="s">
        <v>812</v>
      </c>
      <c r="CG35" s="36"/>
      <c r="CH35" s="33"/>
      <c r="CI35" s="33"/>
      <c r="CJ35" s="33"/>
      <c r="CK35" s="36"/>
      <c r="CL35" s="7"/>
      <c r="CM35" s="36"/>
      <c r="CN35" s="7"/>
      <c r="CO35" s="36"/>
      <c r="CP35" s="36"/>
      <c r="CQ35" s="7"/>
      <c r="CR35" s="7"/>
      <c r="CS35" s="7"/>
      <c r="CT35" s="36"/>
      <c r="CU35" s="36"/>
      <c r="CV35" s="7"/>
      <c r="CW35" s="36"/>
      <c r="CX35" s="36"/>
      <c r="CY35" s="7"/>
      <c r="CZ35" s="36"/>
      <c r="DA35" s="36"/>
      <c r="DB35" s="7"/>
      <c r="DC35" s="36"/>
      <c r="DD35" s="7"/>
      <c r="DE35" s="36"/>
      <c r="DF35" s="7"/>
      <c r="DG35" s="36"/>
      <c r="DH35" s="7"/>
      <c r="DI35" s="36"/>
      <c r="DJ35" s="7"/>
      <c r="DK35" s="36"/>
      <c r="DL35" s="7"/>
      <c r="DM35" s="36"/>
      <c r="DN35" s="7"/>
      <c r="DO35" s="36"/>
      <c r="DP35" s="14"/>
      <c r="DQ35" s="14"/>
      <c r="DR35" s="7"/>
      <c r="DS35" s="7"/>
      <c r="DT35" s="7"/>
      <c r="DU35" s="15"/>
      <c r="DV35" s="15"/>
      <c r="DW35" s="291"/>
      <c r="DX35" s="291"/>
      <c r="DY35" s="33"/>
      <c r="DZ35" s="36"/>
      <c r="EA35" s="308"/>
    </row>
    <row r="36" spans="1:131" s="1" customFormat="1" ht="30.75" x14ac:dyDescent="0.25">
      <c r="A36" s="12" t="s">
        <v>564</v>
      </c>
      <c r="B36" s="24" t="s">
        <v>62</v>
      </c>
      <c r="C36" s="8" t="s">
        <v>227</v>
      </c>
      <c r="D36" s="24" t="s">
        <v>13</v>
      </c>
      <c r="E36" s="3">
        <v>255005</v>
      </c>
      <c r="F36" s="353">
        <v>4</v>
      </c>
      <c r="G36" s="353">
        <v>36</v>
      </c>
      <c r="H36" s="353">
        <v>1502</v>
      </c>
      <c r="I36" s="9" t="s">
        <v>13</v>
      </c>
      <c r="J36" s="10" t="s">
        <v>13</v>
      </c>
      <c r="K36" s="3">
        <v>4</v>
      </c>
      <c r="L36" s="3">
        <v>36</v>
      </c>
      <c r="M36" s="45"/>
      <c r="N36" s="3" t="s">
        <v>186</v>
      </c>
      <c r="O36" s="3" t="s">
        <v>189</v>
      </c>
      <c r="P36" s="11" t="s">
        <v>187</v>
      </c>
      <c r="Q36" s="11" t="s">
        <v>187</v>
      </c>
      <c r="R36" s="11" t="s">
        <v>193</v>
      </c>
      <c r="S36" s="3" t="s">
        <v>188</v>
      </c>
      <c r="T36" s="12" t="s">
        <v>110</v>
      </c>
      <c r="U36" s="12" t="s">
        <v>222</v>
      </c>
      <c r="V36" s="12"/>
      <c r="W36" s="12" t="s">
        <v>36</v>
      </c>
      <c r="X36" s="12" t="s">
        <v>13</v>
      </c>
      <c r="Y36" s="25" t="s">
        <v>69</v>
      </c>
      <c r="Z36" s="347">
        <v>13</v>
      </c>
      <c r="AA36" s="9" t="s">
        <v>529</v>
      </c>
      <c r="AB36" s="110" t="s">
        <v>37</v>
      </c>
      <c r="AC36" s="33">
        <v>6815400</v>
      </c>
      <c r="AD36" s="33"/>
      <c r="AE36" s="7">
        <f>AC36+AD36</f>
        <v>6815400</v>
      </c>
      <c r="AF36" s="33"/>
      <c r="AG36" s="7">
        <f t="shared" si="24"/>
        <v>6815400</v>
      </c>
      <c r="AH36" s="33">
        <v>5000000</v>
      </c>
      <c r="AI36" s="7">
        <f t="shared" si="25"/>
        <v>11815400</v>
      </c>
      <c r="AJ36" s="409"/>
      <c r="AK36" s="7">
        <f>6815400-3845000</f>
        <v>2970400</v>
      </c>
      <c r="AL36" s="33">
        <v>1306712</v>
      </c>
      <c r="AM36" s="33">
        <f t="shared" si="28"/>
        <v>4277112</v>
      </c>
      <c r="AN36" s="33">
        <v>0</v>
      </c>
      <c r="AO36" s="33">
        <v>0</v>
      </c>
      <c r="AP36" s="7">
        <f t="shared" si="29"/>
        <v>0</v>
      </c>
      <c r="AQ36" s="33"/>
      <c r="AR36" s="33"/>
      <c r="AS36" s="7">
        <f t="shared" si="30"/>
        <v>0</v>
      </c>
      <c r="AT36" s="33">
        <v>183604.45</v>
      </c>
      <c r="AU36" s="33">
        <v>25704.63</v>
      </c>
      <c r="AV36" s="7">
        <f t="shared" si="31"/>
        <v>209309.08000000002</v>
      </c>
      <c r="AW36" s="33"/>
      <c r="AX36" s="33"/>
      <c r="AY36" s="7">
        <f t="shared" si="1"/>
        <v>0</v>
      </c>
      <c r="AZ36" s="33"/>
      <c r="BA36" s="33"/>
      <c r="BB36" s="7">
        <f t="shared" si="32"/>
        <v>0</v>
      </c>
      <c r="BC36" s="33"/>
      <c r="BD36" s="33"/>
      <c r="BE36" s="7">
        <f t="shared" si="33"/>
        <v>0</v>
      </c>
      <c r="BF36" s="33"/>
      <c r="BG36" s="33"/>
      <c r="BH36" s="7">
        <f t="shared" si="34"/>
        <v>0</v>
      </c>
      <c r="BI36" s="33"/>
      <c r="BJ36" s="33"/>
      <c r="BK36" s="7">
        <f t="shared" si="35"/>
        <v>0</v>
      </c>
      <c r="BL36" s="33"/>
      <c r="BM36" s="33"/>
      <c r="BN36" s="7">
        <f t="shared" si="36"/>
        <v>0</v>
      </c>
      <c r="BO36" s="33"/>
      <c r="BP36" s="33"/>
      <c r="BQ36" s="7">
        <f t="shared" si="37"/>
        <v>0</v>
      </c>
      <c r="BR36" s="33"/>
      <c r="BS36" s="33"/>
      <c r="BT36" s="7">
        <f t="shared" si="38"/>
        <v>0</v>
      </c>
      <c r="BU36" s="33"/>
      <c r="BV36" s="33"/>
      <c r="BW36" s="7">
        <f t="shared" si="39"/>
        <v>0</v>
      </c>
      <c r="BX36" s="33"/>
      <c r="BY36" s="7">
        <f t="shared" si="18"/>
        <v>183604.45</v>
      </c>
      <c r="BZ36" s="7">
        <f t="shared" si="19"/>
        <v>209309.08000000002</v>
      </c>
      <c r="CA36" s="33"/>
      <c r="CB36" s="7">
        <f t="shared" si="20"/>
        <v>4093507.55</v>
      </c>
      <c r="CC36" s="7">
        <f t="shared" si="21"/>
        <v>4067802.92</v>
      </c>
      <c r="CD36" s="15">
        <f t="shared" si="22"/>
        <v>4.292720181281201E-2</v>
      </c>
      <c r="CE36" s="15">
        <f t="shared" si="23"/>
        <v>4.8937011703224051E-2</v>
      </c>
      <c r="CF36" s="451" t="s">
        <v>866</v>
      </c>
      <c r="CG36" s="33">
        <f>10000000-5000000</f>
        <v>5000000</v>
      </c>
      <c r="CH36" s="33">
        <v>10000000</v>
      </c>
      <c r="CI36" s="33"/>
      <c r="CJ36" s="33"/>
      <c r="CK36" s="33"/>
      <c r="CL36" s="7">
        <f>CK36</f>
        <v>0</v>
      </c>
      <c r="CM36" s="33">
        <v>4119.6000000000004</v>
      </c>
      <c r="CN36" s="7">
        <f>CM36</f>
        <v>4119.6000000000004</v>
      </c>
      <c r="CO36" s="33">
        <v>-4119.6000000000004</v>
      </c>
      <c r="CP36" s="33">
        <v>0</v>
      </c>
      <c r="CQ36" s="7">
        <f>CO36+CP36</f>
        <v>-4119.6000000000004</v>
      </c>
      <c r="CR36" s="7">
        <f>CK36+CM36+CO36</f>
        <v>0</v>
      </c>
      <c r="CS36" s="7">
        <f>CL36+CN36+CQ36</f>
        <v>0</v>
      </c>
      <c r="CT36" s="33"/>
      <c r="CU36" s="33"/>
      <c r="CV36" s="7">
        <f>CT36+CU36</f>
        <v>0</v>
      </c>
      <c r="CW36" s="33"/>
      <c r="CX36" s="33"/>
      <c r="CY36" s="7">
        <f>CW36+CX36</f>
        <v>0</v>
      </c>
      <c r="CZ36" s="33"/>
      <c r="DA36" s="33"/>
      <c r="DB36" s="7">
        <f>CZ36+DA36</f>
        <v>0</v>
      </c>
      <c r="DC36" s="33"/>
      <c r="DD36" s="7">
        <f>DC36</f>
        <v>0</v>
      </c>
      <c r="DE36" s="33"/>
      <c r="DF36" s="7">
        <f>DE36</f>
        <v>0</v>
      </c>
      <c r="DG36" s="33"/>
      <c r="DH36" s="7">
        <f>DG36</f>
        <v>0</v>
      </c>
      <c r="DI36" s="33"/>
      <c r="DJ36" s="7">
        <f>DI36</f>
        <v>0</v>
      </c>
      <c r="DK36" s="33"/>
      <c r="DL36" s="7">
        <f>DK36</f>
        <v>0</v>
      </c>
      <c r="DM36" s="33"/>
      <c r="DN36" s="7">
        <f>DM36</f>
        <v>0</v>
      </c>
      <c r="DO36" s="33">
        <v>3614075.5</v>
      </c>
      <c r="DP36" s="14">
        <f>CK36+CM36+CO36+CT36+CW36+CZ36+DC36+DE36+DG36+DI36+DK36+DM36</f>
        <v>0</v>
      </c>
      <c r="DQ36" s="14">
        <f>CL36+CN36+CQ36+CV36+CY36+DB36</f>
        <v>0</v>
      </c>
      <c r="DR36" s="7"/>
      <c r="DS36" s="7">
        <f>AG36-DP36</f>
        <v>6815400</v>
      </c>
      <c r="DT36" s="7">
        <f>AG36-DQ36</f>
        <v>6815400</v>
      </c>
      <c r="DU36" s="15">
        <f>DP36/AG36</f>
        <v>0</v>
      </c>
      <c r="DV36" s="15">
        <f>DQ36/AG36</f>
        <v>0</v>
      </c>
      <c r="DW36" s="33">
        <v>55265000</v>
      </c>
      <c r="DX36" s="33"/>
      <c r="DY36" s="33"/>
      <c r="DZ36" s="36"/>
      <c r="EA36" s="109"/>
    </row>
    <row r="37" spans="1:131" s="1" customFormat="1" x14ac:dyDescent="0.25">
      <c r="A37" s="12" t="s">
        <v>564</v>
      </c>
      <c r="B37" s="24" t="s">
        <v>62</v>
      </c>
      <c r="C37" s="8" t="s">
        <v>227</v>
      </c>
      <c r="D37" s="24" t="s">
        <v>13</v>
      </c>
      <c r="E37" s="3">
        <v>255005</v>
      </c>
      <c r="F37" s="353">
        <v>4</v>
      </c>
      <c r="G37" s="353">
        <v>36</v>
      </c>
      <c r="H37" s="353">
        <v>1551</v>
      </c>
      <c r="I37" s="9" t="s">
        <v>13</v>
      </c>
      <c r="J37" s="10" t="s">
        <v>13</v>
      </c>
      <c r="K37" s="3">
        <v>4</v>
      </c>
      <c r="L37" s="3">
        <v>35</v>
      </c>
      <c r="M37" s="45"/>
      <c r="N37" s="3" t="s">
        <v>186</v>
      </c>
      <c r="O37" s="3" t="s">
        <v>189</v>
      </c>
      <c r="P37" s="11" t="s">
        <v>187</v>
      </c>
      <c r="Q37" s="11" t="s">
        <v>187</v>
      </c>
      <c r="R37" s="11" t="s">
        <v>193</v>
      </c>
      <c r="S37" s="3" t="s">
        <v>188</v>
      </c>
      <c r="T37" s="12" t="s">
        <v>110</v>
      </c>
      <c r="U37" s="12" t="s">
        <v>222</v>
      </c>
      <c r="V37" s="12"/>
      <c r="W37" s="12" t="s">
        <v>36</v>
      </c>
      <c r="X37" s="12" t="s">
        <v>13</v>
      </c>
      <c r="Y37" s="25" t="s">
        <v>69</v>
      </c>
      <c r="Z37" s="25">
        <v>13</v>
      </c>
      <c r="AA37" s="10" t="s">
        <v>528</v>
      </c>
      <c r="AB37" s="110" t="s">
        <v>37</v>
      </c>
      <c r="AC37" s="36"/>
      <c r="AD37" s="36"/>
      <c r="AE37" s="7"/>
      <c r="AF37" s="33"/>
      <c r="AG37" s="7">
        <f t="shared" si="24"/>
        <v>0</v>
      </c>
      <c r="AH37" s="33"/>
      <c r="AI37" s="7">
        <f t="shared" si="25"/>
        <v>0</v>
      </c>
      <c r="AJ37" s="409"/>
      <c r="AK37" s="27">
        <v>2000000</v>
      </c>
      <c r="AL37" s="36"/>
      <c r="AM37" s="33">
        <f t="shared" si="28"/>
        <v>2000000</v>
      </c>
      <c r="AN37" s="36">
        <v>2000000</v>
      </c>
      <c r="AO37" s="36">
        <v>280000</v>
      </c>
      <c r="AP37" s="7">
        <f>AN37+AO37</f>
        <v>2280000</v>
      </c>
      <c r="AQ37" s="36"/>
      <c r="AR37" s="36"/>
      <c r="AS37" s="7">
        <f t="shared" si="30"/>
        <v>0</v>
      </c>
      <c r="AT37" s="36"/>
      <c r="AU37" s="36"/>
      <c r="AV37" s="7">
        <f t="shared" si="31"/>
        <v>0</v>
      </c>
      <c r="AW37" s="33"/>
      <c r="AX37" s="33"/>
      <c r="AY37" s="7">
        <f t="shared" si="1"/>
        <v>0</v>
      </c>
      <c r="AZ37" s="33"/>
      <c r="BA37" s="33"/>
      <c r="BB37" s="7">
        <f t="shared" si="32"/>
        <v>0</v>
      </c>
      <c r="BC37" s="33"/>
      <c r="BD37" s="33"/>
      <c r="BE37" s="7">
        <f t="shared" si="33"/>
        <v>0</v>
      </c>
      <c r="BF37" s="33"/>
      <c r="BG37" s="33"/>
      <c r="BH37" s="7">
        <f t="shared" si="34"/>
        <v>0</v>
      </c>
      <c r="BI37" s="33"/>
      <c r="BJ37" s="33"/>
      <c r="BK37" s="7">
        <f t="shared" si="35"/>
        <v>0</v>
      </c>
      <c r="BL37" s="33"/>
      <c r="BM37" s="33"/>
      <c r="BN37" s="7">
        <f t="shared" si="36"/>
        <v>0</v>
      </c>
      <c r="BO37" s="33"/>
      <c r="BP37" s="33"/>
      <c r="BQ37" s="7">
        <f t="shared" si="37"/>
        <v>0</v>
      </c>
      <c r="BR37" s="33"/>
      <c r="BS37" s="33"/>
      <c r="BT37" s="7">
        <f t="shared" si="38"/>
        <v>0</v>
      </c>
      <c r="BU37" s="33"/>
      <c r="BV37" s="33"/>
      <c r="BW37" s="7">
        <f t="shared" si="39"/>
        <v>0</v>
      </c>
      <c r="BX37" s="33"/>
      <c r="BY37" s="7">
        <f t="shared" si="18"/>
        <v>2000000</v>
      </c>
      <c r="BZ37" s="7">
        <f t="shared" si="19"/>
        <v>2280000</v>
      </c>
      <c r="CA37" s="33"/>
      <c r="CB37" s="7">
        <f t="shared" si="20"/>
        <v>0</v>
      </c>
      <c r="CC37" s="7">
        <f t="shared" si="21"/>
        <v>-280000</v>
      </c>
      <c r="CD37" s="15">
        <f t="shared" si="22"/>
        <v>1</v>
      </c>
      <c r="CE37" s="15">
        <f t="shared" si="23"/>
        <v>1.1399999999999999</v>
      </c>
      <c r="CF37" s="451" t="s">
        <v>812</v>
      </c>
      <c r="CG37" s="36">
        <f>10000000-5000000</f>
        <v>5000000</v>
      </c>
      <c r="CH37" s="33">
        <v>10000000</v>
      </c>
      <c r="CI37" s="33"/>
      <c r="CJ37" s="33"/>
      <c r="CK37" s="36"/>
      <c r="CL37" s="7"/>
      <c r="CM37" s="36"/>
      <c r="CN37" s="7"/>
      <c r="CO37" s="36"/>
      <c r="CP37" s="36"/>
      <c r="CQ37" s="7"/>
      <c r="CR37" s="7"/>
      <c r="CS37" s="7"/>
      <c r="CT37" s="36"/>
      <c r="CU37" s="36"/>
      <c r="CV37" s="7"/>
      <c r="CW37" s="36"/>
      <c r="CX37" s="36"/>
      <c r="CY37" s="7"/>
      <c r="CZ37" s="36"/>
      <c r="DA37" s="36"/>
      <c r="DB37" s="7"/>
      <c r="DC37" s="36"/>
      <c r="DD37" s="7"/>
      <c r="DE37" s="36"/>
      <c r="DF37" s="7"/>
      <c r="DG37" s="36"/>
      <c r="DH37" s="7"/>
      <c r="DI37" s="36"/>
      <c r="DJ37" s="7"/>
      <c r="DK37" s="36"/>
      <c r="DL37" s="7"/>
      <c r="DM37" s="36"/>
      <c r="DN37" s="7"/>
      <c r="DO37" s="36"/>
      <c r="DP37" s="14"/>
      <c r="DQ37" s="14"/>
      <c r="DR37" s="7"/>
      <c r="DS37" s="7"/>
      <c r="DT37" s="7"/>
      <c r="DU37" s="15"/>
      <c r="DV37" s="15"/>
      <c r="DW37" s="291"/>
      <c r="DX37" s="291"/>
      <c r="DY37" s="33"/>
      <c r="DZ37" s="36"/>
      <c r="EA37" s="308">
        <f>+AI37+AK37+CG37+CH37</f>
        <v>17000000</v>
      </c>
    </row>
    <row r="38" spans="1:131" s="1" customFormat="1" x14ac:dyDescent="0.25">
      <c r="A38" s="12" t="s">
        <v>564</v>
      </c>
      <c r="B38" s="24" t="s">
        <v>62</v>
      </c>
      <c r="C38" s="8" t="s">
        <v>227</v>
      </c>
      <c r="D38" s="24" t="s">
        <v>13</v>
      </c>
      <c r="E38" s="3">
        <v>255005</v>
      </c>
      <c r="F38" s="353">
        <v>4</v>
      </c>
      <c r="G38" s="353">
        <v>36</v>
      </c>
      <c r="H38" s="353">
        <v>1503</v>
      </c>
      <c r="I38" s="9" t="s">
        <v>13</v>
      </c>
      <c r="J38" s="10" t="s">
        <v>13</v>
      </c>
      <c r="K38" s="3">
        <v>4</v>
      </c>
      <c r="L38" s="3">
        <v>36</v>
      </c>
      <c r="M38" s="45"/>
      <c r="N38" s="3" t="s">
        <v>186</v>
      </c>
      <c r="O38" s="3" t="s">
        <v>189</v>
      </c>
      <c r="P38" s="11" t="s">
        <v>187</v>
      </c>
      <c r="Q38" s="11" t="s">
        <v>187</v>
      </c>
      <c r="R38" s="11" t="s">
        <v>193</v>
      </c>
      <c r="S38" s="3" t="s">
        <v>188</v>
      </c>
      <c r="T38" s="12" t="s">
        <v>110</v>
      </c>
      <c r="U38" s="12" t="s">
        <v>222</v>
      </c>
      <c r="V38" s="12"/>
      <c r="W38" s="12" t="s">
        <v>36</v>
      </c>
      <c r="X38" s="12" t="s">
        <v>13</v>
      </c>
      <c r="Y38" s="25" t="s">
        <v>69</v>
      </c>
      <c r="Z38" s="347">
        <v>24</v>
      </c>
      <c r="AA38" s="10" t="s">
        <v>530</v>
      </c>
      <c r="AB38" s="110" t="s">
        <v>37</v>
      </c>
      <c r="AC38" s="33">
        <v>200000</v>
      </c>
      <c r="AD38" s="33"/>
      <c r="AE38" s="7">
        <f t="shared" si="43"/>
        <v>200000</v>
      </c>
      <c r="AF38" s="33">
        <v>300000</v>
      </c>
      <c r="AG38" s="7">
        <f t="shared" si="24"/>
        <v>500000</v>
      </c>
      <c r="AH38" s="33"/>
      <c r="AI38" s="7">
        <f t="shared" si="25"/>
        <v>500000</v>
      </c>
      <c r="AJ38" s="409"/>
      <c r="AK38" s="7">
        <v>500000</v>
      </c>
      <c r="AL38" s="33"/>
      <c r="AM38" s="33">
        <f t="shared" si="28"/>
        <v>500000</v>
      </c>
      <c r="AN38" s="33">
        <v>0</v>
      </c>
      <c r="AO38" s="33">
        <v>0</v>
      </c>
      <c r="AP38" s="7">
        <f t="shared" si="29"/>
        <v>0</v>
      </c>
      <c r="AQ38" s="33"/>
      <c r="AR38" s="33"/>
      <c r="AS38" s="7">
        <f t="shared" si="30"/>
        <v>0</v>
      </c>
      <c r="AT38" s="33"/>
      <c r="AU38" s="33"/>
      <c r="AV38" s="7">
        <f t="shared" si="31"/>
        <v>0</v>
      </c>
      <c r="AW38" s="33">
        <v>56248</v>
      </c>
      <c r="AX38" s="33">
        <v>7874.72</v>
      </c>
      <c r="AY38" s="7">
        <f t="shared" si="1"/>
        <v>64122.720000000001</v>
      </c>
      <c r="AZ38" s="33"/>
      <c r="BA38" s="33"/>
      <c r="BB38" s="7">
        <f t="shared" si="32"/>
        <v>0</v>
      </c>
      <c r="BC38" s="33"/>
      <c r="BD38" s="33"/>
      <c r="BE38" s="7">
        <f t="shared" si="33"/>
        <v>0</v>
      </c>
      <c r="BF38" s="33"/>
      <c r="BG38" s="33"/>
      <c r="BH38" s="7">
        <f t="shared" si="34"/>
        <v>0</v>
      </c>
      <c r="BI38" s="33"/>
      <c r="BJ38" s="33"/>
      <c r="BK38" s="7">
        <f t="shared" si="35"/>
        <v>0</v>
      </c>
      <c r="BL38" s="33"/>
      <c r="BM38" s="33"/>
      <c r="BN38" s="7">
        <f t="shared" si="36"/>
        <v>0</v>
      </c>
      <c r="BO38" s="33"/>
      <c r="BP38" s="33"/>
      <c r="BQ38" s="7">
        <f t="shared" si="37"/>
        <v>0</v>
      </c>
      <c r="BR38" s="33"/>
      <c r="BS38" s="33"/>
      <c r="BT38" s="7">
        <f t="shared" si="38"/>
        <v>0</v>
      </c>
      <c r="BU38" s="33"/>
      <c r="BV38" s="33"/>
      <c r="BW38" s="7">
        <f t="shared" si="39"/>
        <v>0</v>
      </c>
      <c r="BX38" s="33"/>
      <c r="BY38" s="7">
        <f t="shared" si="18"/>
        <v>56248</v>
      </c>
      <c r="BZ38" s="7">
        <f t="shared" si="19"/>
        <v>64122.720000000001</v>
      </c>
      <c r="CA38" s="33"/>
      <c r="CB38" s="7">
        <f t="shared" si="20"/>
        <v>443752</v>
      </c>
      <c r="CC38" s="7">
        <f t="shared" si="21"/>
        <v>435877.28</v>
      </c>
      <c r="CD38" s="15">
        <f t="shared" si="22"/>
        <v>0.112496</v>
      </c>
      <c r="CE38" s="15">
        <f t="shared" si="23"/>
        <v>0.12824544000000002</v>
      </c>
      <c r="CF38" s="451" t="s">
        <v>813</v>
      </c>
      <c r="CG38" s="33">
        <f>7900000-2000000</f>
        <v>5900000</v>
      </c>
      <c r="CH38" s="33">
        <v>13000000</v>
      </c>
      <c r="CI38" s="33"/>
      <c r="CJ38" s="33"/>
      <c r="CK38" s="33"/>
      <c r="CL38" s="7">
        <f t="shared" si="44"/>
        <v>0</v>
      </c>
      <c r="CM38" s="33"/>
      <c r="CN38" s="7">
        <f t="shared" si="45"/>
        <v>0</v>
      </c>
      <c r="CO38" s="33"/>
      <c r="CP38" s="33">
        <v>0</v>
      </c>
      <c r="CQ38" s="7">
        <f t="shared" si="46"/>
        <v>0</v>
      </c>
      <c r="CR38" s="7">
        <f t="shared" si="47"/>
        <v>0</v>
      </c>
      <c r="CS38" s="7">
        <f t="shared" si="48"/>
        <v>0</v>
      </c>
      <c r="CT38" s="33"/>
      <c r="CU38" s="33"/>
      <c r="CV38" s="7">
        <f t="shared" si="49"/>
        <v>0</v>
      </c>
      <c r="CW38" s="33"/>
      <c r="CX38" s="33"/>
      <c r="CY38" s="7">
        <f t="shared" si="50"/>
        <v>0</v>
      </c>
      <c r="CZ38" s="33"/>
      <c r="DA38" s="33"/>
      <c r="DB38" s="7">
        <f t="shared" si="51"/>
        <v>0</v>
      </c>
      <c r="DC38" s="33"/>
      <c r="DD38" s="7">
        <f t="shared" si="52"/>
        <v>0</v>
      </c>
      <c r="DE38" s="33"/>
      <c r="DF38" s="7">
        <f t="shared" si="53"/>
        <v>0</v>
      </c>
      <c r="DG38" s="33"/>
      <c r="DH38" s="7">
        <f t="shared" si="54"/>
        <v>0</v>
      </c>
      <c r="DI38" s="33"/>
      <c r="DJ38" s="7">
        <f t="shared" si="55"/>
        <v>0</v>
      </c>
      <c r="DK38" s="33"/>
      <c r="DL38" s="7">
        <f t="shared" si="56"/>
        <v>0</v>
      </c>
      <c r="DM38" s="33"/>
      <c r="DN38" s="7">
        <f t="shared" si="57"/>
        <v>0</v>
      </c>
      <c r="DO38" s="33">
        <v>175438.6</v>
      </c>
      <c r="DP38" s="14">
        <f t="shared" si="58"/>
        <v>0</v>
      </c>
      <c r="DQ38" s="14">
        <f t="shared" si="59"/>
        <v>0</v>
      </c>
      <c r="DR38" s="7"/>
      <c r="DS38" s="7">
        <f t="shared" si="60"/>
        <v>500000</v>
      </c>
      <c r="DT38" s="7">
        <f t="shared" si="61"/>
        <v>500000</v>
      </c>
      <c r="DU38" s="15">
        <f t="shared" si="62"/>
        <v>0</v>
      </c>
      <c r="DV38" s="15">
        <f t="shared" si="63"/>
        <v>0</v>
      </c>
      <c r="DW38" s="33">
        <v>10000000</v>
      </c>
      <c r="DX38" s="33"/>
      <c r="DY38" s="33"/>
      <c r="DZ38" s="36"/>
      <c r="EA38" s="109"/>
    </row>
    <row r="39" spans="1:131" s="1" customFormat="1" x14ac:dyDescent="0.25">
      <c r="A39" s="12" t="s">
        <v>564</v>
      </c>
      <c r="B39" s="24" t="s">
        <v>62</v>
      </c>
      <c r="C39" s="8" t="s">
        <v>227</v>
      </c>
      <c r="D39" s="24" t="s">
        <v>13</v>
      </c>
      <c r="E39" s="3">
        <v>255005</v>
      </c>
      <c r="F39" s="353">
        <v>4</v>
      </c>
      <c r="G39" s="353">
        <v>36</v>
      </c>
      <c r="H39" s="353">
        <v>1504</v>
      </c>
      <c r="I39" s="9" t="s">
        <v>13</v>
      </c>
      <c r="J39" s="10" t="s">
        <v>13</v>
      </c>
      <c r="K39" s="3">
        <v>4</v>
      </c>
      <c r="L39" s="3">
        <v>36</v>
      </c>
      <c r="M39" s="45"/>
      <c r="N39" s="3" t="s">
        <v>186</v>
      </c>
      <c r="O39" s="3" t="s">
        <v>189</v>
      </c>
      <c r="P39" s="11" t="s">
        <v>187</v>
      </c>
      <c r="Q39" s="11" t="s">
        <v>187</v>
      </c>
      <c r="R39" s="11" t="s">
        <v>193</v>
      </c>
      <c r="S39" s="3" t="s">
        <v>188</v>
      </c>
      <c r="T39" s="12" t="s">
        <v>110</v>
      </c>
      <c r="U39" s="12" t="s">
        <v>222</v>
      </c>
      <c r="V39" s="12"/>
      <c r="W39" s="12" t="s">
        <v>36</v>
      </c>
      <c r="X39" s="12" t="s">
        <v>13</v>
      </c>
      <c r="Y39" s="25" t="s">
        <v>69</v>
      </c>
      <c r="Z39" s="347">
        <v>24</v>
      </c>
      <c r="AA39" s="10" t="s">
        <v>531</v>
      </c>
      <c r="AB39" s="110" t="s">
        <v>37</v>
      </c>
      <c r="AC39" s="33">
        <v>200000</v>
      </c>
      <c r="AD39" s="33"/>
      <c r="AE39" s="7">
        <f t="shared" si="43"/>
        <v>200000</v>
      </c>
      <c r="AF39" s="33">
        <v>300000</v>
      </c>
      <c r="AG39" s="7">
        <f t="shared" si="24"/>
        <v>500000</v>
      </c>
      <c r="AH39" s="33"/>
      <c r="AI39" s="7">
        <f t="shared" si="25"/>
        <v>500000</v>
      </c>
      <c r="AJ39" s="409"/>
      <c r="AK39" s="7">
        <v>500000</v>
      </c>
      <c r="AL39" s="33"/>
      <c r="AM39" s="33">
        <f t="shared" si="28"/>
        <v>500000</v>
      </c>
      <c r="AN39" s="33">
        <v>0</v>
      </c>
      <c r="AO39" s="33">
        <v>0</v>
      </c>
      <c r="AP39" s="7">
        <f t="shared" si="29"/>
        <v>0</v>
      </c>
      <c r="AQ39" s="33"/>
      <c r="AR39" s="33"/>
      <c r="AS39" s="7">
        <f t="shared" si="30"/>
        <v>0</v>
      </c>
      <c r="AT39" s="33"/>
      <c r="AU39" s="33"/>
      <c r="AV39" s="7">
        <f t="shared" si="31"/>
        <v>0</v>
      </c>
      <c r="AW39" s="33"/>
      <c r="AX39" s="33"/>
      <c r="AY39" s="7">
        <f t="shared" si="1"/>
        <v>0</v>
      </c>
      <c r="AZ39" s="33"/>
      <c r="BA39" s="33"/>
      <c r="BB39" s="7">
        <f t="shared" si="32"/>
        <v>0</v>
      </c>
      <c r="BC39" s="33"/>
      <c r="BD39" s="33"/>
      <c r="BE39" s="7">
        <f t="shared" si="33"/>
        <v>0</v>
      </c>
      <c r="BF39" s="33"/>
      <c r="BG39" s="33"/>
      <c r="BH39" s="7">
        <f t="shared" si="34"/>
        <v>0</v>
      </c>
      <c r="BI39" s="33"/>
      <c r="BJ39" s="33"/>
      <c r="BK39" s="7">
        <f t="shared" si="35"/>
        <v>0</v>
      </c>
      <c r="BL39" s="33"/>
      <c r="BM39" s="33"/>
      <c r="BN39" s="7">
        <f t="shared" si="36"/>
        <v>0</v>
      </c>
      <c r="BO39" s="33"/>
      <c r="BP39" s="33"/>
      <c r="BQ39" s="7">
        <f t="shared" si="37"/>
        <v>0</v>
      </c>
      <c r="BR39" s="33"/>
      <c r="BS39" s="33"/>
      <c r="BT39" s="7">
        <f t="shared" si="38"/>
        <v>0</v>
      </c>
      <c r="BU39" s="33"/>
      <c r="BV39" s="33"/>
      <c r="BW39" s="7">
        <f t="shared" si="39"/>
        <v>0</v>
      </c>
      <c r="BX39" s="33"/>
      <c r="BY39" s="7">
        <f t="shared" si="18"/>
        <v>0</v>
      </c>
      <c r="BZ39" s="7">
        <f t="shared" si="19"/>
        <v>0</v>
      </c>
      <c r="CA39" s="33"/>
      <c r="CB39" s="7">
        <f t="shared" si="20"/>
        <v>500000</v>
      </c>
      <c r="CC39" s="7">
        <f t="shared" si="21"/>
        <v>500000</v>
      </c>
      <c r="CD39" s="15">
        <f t="shared" si="22"/>
        <v>0</v>
      </c>
      <c r="CE39" s="15">
        <f t="shared" si="23"/>
        <v>0</v>
      </c>
      <c r="CF39" s="451" t="s">
        <v>814</v>
      </c>
      <c r="CG39" s="33">
        <v>200000</v>
      </c>
      <c r="CH39" s="33">
        <v>200000</v>
      </c>
      <c r="CI39" s="33"/>
      <c r="CJ39" s="33"/>
      <c r="CK39" s="33"/>
      <c r="CL39" s="7">
        <f t="shared" si="44"/>
        <v>0</v>
      </c>
      <c r="CM39" s="33"/>
      <c r="CN39" s="7">
        <f t="shared" si="45"/>
        <v>0</v>
      </c>
      <c r="CO39" s="33"/>
      <c r="CP39" s="33">
        <v>0</v>
      </c>
      <c r="CQ39" s="7">
        <f t="shared" si="46"/>
        <v>0</v>
      </c>
      <c r="CR39" s="7">
        <f t="shared" si="47"/>
        <v>0</v>
      </c>
      <c r="CS39" s="7">
        <f t="shared" si="48"/>
        <v>0</v>
      </c>
      <c r="CT39" s="33"/>
      <c r="CU39" s="33"/>
      <c r="CV39" s="7">
        <f t="shared" si="49"/>
        <v>0</v>
      </c>
      <c r="CW39" s="33"/>
      <c r="CX39" s="33"/>
      <c r="CY39" s="7">
        <f t="shared" si="50"/>
        <v>0</v>
      </c>
      <c r="CZ39" s="33"/>
      <c r="DA39" s="33"/>
      <c r="DB39" s="7">
        <f t="shared" si="51"/>
        <v>0</v>
      </c>
      <c r="DC39" s="33"/>
      <c r="DD39" s="7">
        <f t="shared" si="52"/>
        <v>0</v>
      </c>
      <c r="DE39" s="33"/>
      <c r="DF39" s="7">
        <f t="shared" si="53"/>
        <v>0</v>
      </c>
      <c r="DG39" s="33"/>
      <c r="DH39" s="7">
        <f t="shared" si="54"/>
        <v>0</v>
      </c>
      <c r="DI39" s="33"/>
      <c r="DJ39" s="7">
        <f t="shared" si="55"/>
        <v>0</v>
      </c>
      <c r="DK39" s="33"/>
      <c r="DL39" s="7">
        <f t="shared" si="56"/>
        <v>0</v>
      </c>
      <c r="DM39" s="33"/>
      <c r="DN39" s="7">
        <f t="shared" si="57"/>
        <v>0</v>
      </c>
      <c r="DO39" s="33"/>
      <c r="DP39" s="14">
        <f t="shared" si="58"/>
        <v>0</v>
      </c>
      <c r="DQ39" s="14">
        <f t="shared" si="59"/>
        <v>0</v>
      </c>
      <c r="DR39" s="7"/>
      <c r="DS39" s="7">
        <f t="shared" si="60"/>
        <v>500000</v>
      </c>
      <c r="DT39" s="7">
        <f t="shared" si="61"/>
        <v>500000</v>
      </c>
      <c r="DU39" s="15">
        <f t="shared" si="62"/>
        <v>0</v>
      </c>
      <c r="DV39" s="15">
        <f t="shared" si="63"/>
        <v>0</v>
      </c>
      <c r="DW39" s="33">
        <v>10000000</v>
      </c>
      <c r="DX39" s="33"/>
      <c r="DY39" s="33"/>
      <c r="DZ39" s="36"/>
      <c r="EA39" s="109"/>
    </row>
    <row r="40" spans="1:131" s="1" customFormat="1" x14ac:dyDescent="0.25">
      <c r="A40" s="12" t="s">
        <v>564</v>
      </c>
      <c r="B40" s="24" t="s">
        <v>62</v>
      </c>
      <c r="C40" s="8" t="s">
        <v>227</v>
      </c>
      <c r="D40" s="24" t="s">
        <v>13</v>
      </c>
      <c r="E40" s="3">
        <v>255005</v>
      </c>
      <c r="F40" s="353">
        <v>4</v>
      </c>
      <c r="G40" s="353">
        <v>36</v>
      </c>
      <c r="H40" s="353">
        <v>1505</v>
      </c>
      <c r="I40" s="9" t="s">
        <v>13</v>
      </c>
      <c r="J40" s="10" t="s">
        <v>13</v>
      </c>
      <c r="K40" s="3">
        <v>4</v>
      </c>
      <c r="L40" s="3">
        <v>36</v>
      </c>
      <c r="M40" s="45"/>
      <c r="N40" s="3" t="s">
        <v>186</v>
      </c>
      <c r="O40" s="3" t="s">
        <v>189</v>
      </c>
      <c r="P40" s="11" t="s">
        <v>187</v>
      </c>
      <c r="Q40" s="11" t="s">
        <v>187</v>
      </c>
      <c r="R40" s="11" t="s">
        <v>193</v>
      </c>
      <c r="S40" s="3" t="s">
        <v>188</v>
      </c>
      <c r="T40" s="12" t="s">
        <v>110</v>
      </c>
      <c r="U40" s="12" t="s">
        <v>222</v>
      </c>
      <c r="V40" s="12"/>
      <c r="W40" s="12" t="s">
        <v>36</v>
      </c>
      <c r="X40" s="12" t="s">
        <v>13</v>
      </c>
      <c r="Y40" s="25" t="s">
        <v>69</v>
      </c>
      <c r="Z40" s="347">
        <v>24</v>
      </c>
      <c r="AA40" s="10" t="s">
        <v>532</v>
      </c>
      <c r="AB40" s="110" t="s">
        <v>37</v>
      </c>
      <c r="AC40" s="33">
        <v>200000</v>
      </c>
      <c r="AD40" s="33"/>
      <c r="AE40" s="7">
        <f t="shared" si="43"/>
        <v>200000</v>
      </c>
      <c r="AF40" s="33">
        <v>300000</v>
      </c>
      <c r="AG40" s="7">
        <f t="shared" si="24"/>
        <v>500000</v>
      </c>
      <c r="AH40" s="33"/>
      <c r="AI40" s="7">
        <f t="shared" si="25"/>
        <v>500000</v>
      </c>
      <c r="AJ40" s="409"/>
      <c r="AK40" s="7">
        <v>500000</v>
      </c>
      <c r="AL40" s="33"/>
      <c r="AM40" s="33">
        <f t="shared" si="28"/>
        <v>500000</v>
      </c>
      <c r="AN40" s="33">
        <v>0</v>
      </c>
      <c r="AO40" s="33">
        <v>0</v>
      </c>
      <c r="AP40" s="7">
        <f t="shared" si="29"/>
        <v>0</v>
      </c>
      <c r="AQ40" s="33"/>
      <c r="AR40" s="33"/>
      <c r="AS40" s="7">
        <f t="shared" si="30"/>
        <v>0</v>
      </c>
      <c r="AT40" s="33"/>
      <c r="AU40" s="33"/>
      <c r="AV40" s="7">
        <f t="shared" si="31"/>
        <v>0</v>
      </c>
      <c r="AW40" s="33"/>
      <c r="AX40" s="33"/>
      <c r="AY40" s="7">
        <f t="shared" si="1"/>
        <v>0</v>
      </c>
      <c r="AZ40" s="33"/>
      <c r="BA40" s="33"/>
      <c r="BB40" s="7">
        <f t="shared" si="32"/>
        <v>0</v>
      </c>
      <c r="BC40" s="33"/>
      <c r="BD40" s="33"/>
      <c r="BE40" s="7">
        <f t="shared" si="33"/>
        <v>0</v>
      </c>
      <c r="BF40" s="33"/>
      <c r="BG40" s="33"/>
      <c r="BH40" s="7">
        <f t="shared" si="34"/>
        <v>0</v>
      </c>
      <c r="BI40" s="33"/>
      <c r="BJ40" s="33"/>
      <c r="BK40" s="7">
        <f t="shared" si="35"/>
        <v>0</v>
      </c>
      <c r="BL40" s="33"/>
      <c r="BM40" s="33"/>
      <c r="BN40" s="7">
        <f t="shared" si="36"/>
        <v>0</v>
      </c>
      <c r="BO40" s="33"/>
      <c r="BP40" s="33"/>
      <c r="BQ40" s="7">
        <f t="shared" si="37"/>
        <v>0</v>
      </c>
      <c r="BR40" s="33"/>
      <c r="BS40" s="33"/>
      <c r="BT40" s="7">
        <f t="shared" si="38"/>
        <v>0</v>
      </c>
      <c r="BU40" s="33"/>
      <c r="BV40" s="33"/>
      <c r="BW40" s="7">
        <f t="shared" si="39"/>
        <v>0</v>
      </c>
      <c r="BX40" s="33"/>
      <c r="BY40" s="7">
        <f t="shared" si="18"/>
        <v>0</v>
      </c>
      <c r="BZ40" s="7">
        <f t="shared" si="19"/>
        <v>0</v>
      </c>
      <c r="CA40" s="33"/>
      <c r="CB40" s="7">
        <f t="shared" si="20"/>
        <v>500000</v>
      </c>
      <c r="CC40" s="7">
        <f t="shared" si="21"/>
        <v>500000</v>
      </c>
      <c r="CD40" s="15">
        <f t="shared" si="22"/>
        <v>0</v>
      </c>
      <c r="CE40" s="15">
        <f t="shared" si="23"/>
        <v>0</v>
      </c>
      <c r="CF40" s="451" t="s">
        <v>815</v>
      </c>
      <c r="CG40" s="33">
        <v>200000</v>
      </c>
      <c r="CH40" s="33">
        <v>200000</v>
      </c>
      <c r="CI40" s="33"/>
      <c r="CJ40" s="33"/>
      <c r="CK40" s="33"/>
      <c r="CL40" s="7">
        <f t="shared" si="44"/>
        <v>0</v>
      </c>
      <c r="CM40" s="33"/>
      <c r="CN40" s="7">
        <f t="shared" si="45"/>
        <v>0</v>
      </c>
      <c r="CO40" s="33"/>
      <c r="CP40" s="33">
        <v>0</v>
      </c>
      <c r="CQ40" s="7">
        <f t="shared" si="46"/>
        <v>0</v>
      </c>
      <c r="CR40" s="7">
        <f t="shared" si="47"/>
        <v>0</v>
      </c>
      <c r="CS40" s="7">
        <f t="shared" si="48"/>
        <v>0</v>
      </c>
      <c r="CT40" s="33"/>
      <c r="CU40" s="33"/>
      <c r="CV40" s="7">
        <f t="shared" si="49"/>
        <v>0</v>
      </c>
      <c r="CW40" s="33"/>
      <c r="CX40" s="33"/>
      <c r="CY40" s="7">
        <f t="shared" si="50"/>
        <v>0</v>
      </c>
      <c r="CZ40" s="33"/>
      <c r="DA40" s="33"/>
      <c r="DB40" s="7">
        <f t="shared" si="51"/>
        <v>0</v>
      </c>
      <c r="DC40" s="33"/>
      <c r="DD40" s="7">
        <f t="shared" si="52"/>
        <v>0</v>
      </c>
      <c r="DE40" s="33"/>
      <c r="DF40" s="7">
        <f t="shared" si="53"/>
        <v>0</v>
      </c>
      <c r="DG40" s="33"/>
      <c r="DH40" s="7">
        <f t="shared" si="54"/>
        <v>0</v>
      </c>
      <c r="DI40" s="33"/>
      <c r="DJ40" s="7">
        <f t="shared" si="55"/>
        <v>0</v>
      </c>
      <c r="DK40" s="33"/>
      <c r="DL40" s="7">
        <f t="shared" si="56"/>
        <v>0</v>
      </c>
      <c r="DM40" s="33"/>
      <c r="DN40" s="7">
        <f t="shared" si="57"/>
        <v>0</v>
      </c>
      <c r="DO40" s="33"/>
      <c r="DP40" s="14">
        <f t="shared" si="58"/>
        <v>0</v>
      </c>
      <c r="DQ40" s="14">
        <f t="shared" si="59"/>
        <v>0</v>
      </c>
      <c r="DR40" s="7"/>
      <c r="DS40" s="7">
        <f t="shared" si="60"/>
        <v>500000</v>
      </c>
      <c r="DT40" s="7">
        <f t="shared" si="61"/>
        <v>500000</v>
      </c>
      <c r="DU40" s="15">
        <f t="shared" si="62"/>
        <v>0</v>
      </c>
      <c r="DV40" s="15">
        <f t="shared" si="63"/>
        <v>0</v>
      </c>
      <c r="DW40" s="33">
        <v>10000000</v>
      </c>
      <c r="DX40" s="33"/>
      <c r="DY40" s="33"/>
      <c r="DZ40" s="36"/>
      <c r="EA40" s="109"/>
    </row>
    <row r="41" spans="1:131" s="1" customFormat="1" x14ac:dyDescent="0.25">
      <c r="A41" s="12" t="s">
        <v>564</v>
      </c>
      <c r="B41" s="24" t="s">
        <v>62</v>
      </c>
      <c r="C41" s="8" t="s">
        <v>227</v>
      </c>
      <c r="D41" s="24" t="s">
        <v>13</v>
      </c>
      <c r="E41" s="3">
        <v>255005</v>
      </c>
      <c r="F41" s="353">
        <v>4</v>
      </c>
      <c r="G41" s="353">
        <v>36</v>
      </c>
      <c r="H41" s="353">
        <v>1506</v>
      </c>
      <c r="I41" s="9" t="s">
        <v>13</v>
      </c>
      <c r="J41" s="10" t="s">
        <v>13</v>
      </c>
      <c r="K41" s="3">
        <v>4</v>
      </c>
      <c r="L41" s="3">
        <v>36</v>
      </c>
      <c r="M41" s="45"/>
      <c r="N41" s="3" t="s">
        <v>186</v>
      </c>
      <c r="O41" s="3" t="s">
        <v>189</v>
      </c>
      <c r="P41" s="11" t="s">
        <v>187</v>
      </c>
      <c r="Q41" s="11" t="s">
        <v>187</v>
      </c>
      <c r="R41" s="11" t="s">
        <v>193</v>
      </c>
      <c r="S41" s="3" t="s">
        <v>188</v>
      </c>
      <c r="T41" s="12" t="s">
        <v>110</v>
      </c>
      <c r="U41" s="12" t="s">
        <v>222</v>
      </c>
      <c r="V41" s="12"/>
      <c r="W41" s="12" t="s">
        <v>36</v>
      </c>
      <c r="X41" s="12" t="s">
        <v>13</v>
      </c>
      <c r="Y41" s="25" t="s">
        <v>69</v>
      </c>
      <c r="Z41" s="25">
        <v>36</v>
      </c>
      <c r="AA41" s="10" t="s">
        <v>533</v>
      </c>
      <c r="AB41" s="110" t="s">
        <v>37</v>
      </c>
      <c r="AC41" s="33">
        <v>2500000</v>
      </c>
      <c r="AD41" s="33"/>
      <c r="AE41" s="7">
        <f t="shared" ref="AE41:AE49" si="64">AC41+AD41</f>
        <v>2500000</v>
      </c>
      <c r="AF41" s="33">
        <v>-2300000</v>
      </c>
      <c r="AG41" s="7">
        <f t="shared" si="24"/>
        <v>200000</v>
      </c>
      <c r="AH41" s="33"/>
      <c r="AI41" s="7">
        <f t="shared" si="25"/>
        <v>200000</v>
      </c>
      <c r="AJ41" s="409"/>
      <c r="AK41" s="7">
        <v>200000</v>
      </c>
      <c r="AL41" s="33"/>
      <c r="AM41" s="33">
        <f>AK41+AL41</f>
        <v>200000</v>
      </c>
      <c r="AN41" s="33">
        <v>0</v>
      </c>
      <c r="AO41" s="33">
        <v>0</v>
      </c>
      <c r="AP41" s="7">
        <f t="shared" si="29"/>
        <v>0</v>
      </c>
      <c r="AQ41" s="33"/>
      <c r="AR41" s="33"/>
      <c r="AS41" s="7">
        <f t="shared" si="30"/>
        <v>0</v>
      </c>
      <c r="AT41" s="33"/>
      <c r="AU41" s="33"/>
      <c r="AV41" s="7">
        <f t="shared" si="31"/>
        <v>0</v>
      </c>
      <c r="AW41" s="33"/>
      <c r="AX41" s="33"/>
      <c r="AY41" s="7">
        <f t="shared" si="1"/>
        <v>0</v>
      </c>
      <c r="AZ41" s="33"/>
      <c r="BA41" s="33"/>
      <c r="BB41" s="7">
        <f t="shared" si="32"/>
        <v>0</v>
      </c>
      <c r="BC41" s="33"/>
      <c r="BD41" s="33"/>
      <c r="BE41" s="7">
        <f t="shared" si="33"/>
        <v>0</v>
      </c>
      <c r="BF41" s="33"/>
      <c r="BG41" s="33"/>
      <c r="BH41" s="7">
        <f t="shared" si="34"/>
        <v>0</v>
      </c>
      <c r="BI41" s="33"/>
      <c r="BJ41" s="33"/>
      <c r="BK41" s="7">
        <f t="shared" si="35"/>
        <v>0</v>
      </c>
      <c r="BL41" s="33"/>
      <c r="BM41" s="33"/>
      <c r="BN41" s="7">
        <f t="shared" si="36"/>
        <v>0</v>
      </c>
      <c r="BO41" s="33"/>
      <c r="BP41" s="33"/>
      <c r="BQ41" s="7">
        <f t="shared" si="37"/>
        <v>0</v>
      </c>
      <c r="BR41" s="33"/>
      <c r="BS41" s="33"/>
      <c r="BT41" s="7">
        <f t="shared" si="38"/>
        <v>0</v>
      </c>
      <c r="BU41" s="33"/>
      <c r="BV41" s="33"/>
      <c r="BW41" s="7">
        <f t="shared" si="39"/>
        <v>0</v>
      </c>
      <c r="BX41" s="33"/>
      <c r="BY41" s="7">
        <f t="shared" si="18"/>
        <v>0</v>
      </c>
      <c r="BZ41" s="7">
        <f t="shared" si="19"/>
        <v>0</v>
      </c>
      <c r="CA41" s="33"/>
      <c r="CB41" s="7">
        <f t="shared" si="20"/>
        <v>200000</v>
      </c>
      <c r="CC41" s="7">
        <f t="shared" si="21"/>
        <v>200000</v>
      </c>
      <c r="CD41" s="15">
        <f t="shared" si="22"/>
        <v>0</v>
      </c>
      <c r="CE41" s="15">
        <f t="shared" si="23"/>
        <v>0</v>
      </c>
      <c r="CF41" s="451" t="s">
        <v>763</v>
      </c>
      <c r="CG41" s="33">
        <v>0</v>
      </c>
      <c r="CH41" s="33"/>
      <c r="CI41" s="33"/>
      <c r="CJ41" s="33"/>
      <c r="CK41" s="33"/>
      <c r="CL41" s="7">
        <f t="shared" ref="CL41:CL49" si="65">CK41</f>
        <v>0</v>
      </c>
      <c r="CM41" s="33"/>
      <c r="CN41" s="7">
        <f t="shared" ref="CN41:CN49" si="66">CM41</f>
        <v>0</v>
      </c>
      <c r="CO41" s="33"/>
      <c r="CP41" s="33">
        <v>0</v>
      </c>
      <c r="CQ41" s="7">
        <f t="shared" ref="CQ41:CQ49" si="67">CO41+CP41</f>
        <v>0</v>
      </c>
      <c r="CR41" s="7">
        <f t="shared" ref="CR41:CR49" si="68">CK41+CM41+CO41</f>
        <v>0</v>
      </c>
      <c r="CS41" s="7">
        <f t="shared" ref="CS41:CS49" si="69">CL41+CN41+CQ41</f>
        <v>0</v>
      </c>
      <c r="CT41" s="33"/>
      <c r="CU41" s="33"/>
      <c r="CV41" s="7">
        <f t="shared" ref="CV41:CV49" si="70">CT41+CU41</f>
        <v>0</v>
      </c>
      <c r="CW41" s="33"/>
      <c r="CX41" s="33"/>
      <c r="CY41" s="7">
        <f t="shared" ref="CY41:CY49" si="71">CW41+CX41</f>
        <v>0</v>
      </c>
      <c r="CZ41" s="33"/>
      <c r="DA41" s="33"/>
      <c r="DB41" s="7">
        <f t="shared" si="51"/>
        <v>0</v>
      </c>
      <c r="DC41" s="33"/>
      <c r="DD41" s="7">
        <f t="shared" ref="DD41:DD49" si="72">DC41</f>
        <v>0</v>
      </c>
      <c r="DE41" s="33"/>
      <c r="DF41" s="7">
        <f t="shared" ref="DF41:DF49" si="73">DE41</f>
        <v>0</v>
      </c>
      <c r="DG41" s="33"/>
      <c r="DH41" s="7">
        <f t="shared" ref="DH41:DH49" si="74">DG41</f>
        <v>0</v>
      </c>
      <c r="DI41" s="33"/>
      <c r="DJ41" s="7">
        <f t="shared" ref="DJ41:DJ49" si="75">DI41</f>
        <v>0</v>
      </c>
      <c r="DK41" s="33"/>
      <c r="DL41" s="7">
        <f t="shared" ref="DL41:DL49" si="76">DK41</f>
        <v>0</v>
      </c>
      <c r="DM41" s="33"/>
      <c r="DN41" s="7">
        <f t="shared" ref="DN41:DN49" si="77">DM41</f>
        <v>0</v>
      </c>
      <c r="DO41" s="33">
        <v>169290</v>
      </c>
      <c r="DP41" s="14">
        <f t="shared" ref="DP41:DP49" si="78">CK41+CM41+CO41+CT41+CW41+CZ41+DC41+DE41+DG41+DI41+DK41+DM41</f>
        <v>0</v>
      </c>
      <c r="DQ41" s="14">
        <f t="shared" si="59"/>
        <v>0</v>
      </c>
      <c r="DR41" s="7"/>
      <c r="DS41" s="7">
        <f t="shared" si="60"/>
        <v>200000</v>
      </c>
      <c r="DT41" s="7">
        <f t="shared" si="61"/>
        <v>200000</v>
      </c>
      <c r="DU41" s="15">
        <f t="shared" si="62"/>
        <v>0</v>
      </c>
      <c r="DV41" s="15">
        <f t="shared" si="63"/>
        <v>0</v>
      </c>
      <c r="DW41" s="33"/>
      <c r="DX41" s="33"/>
      <c r="DY41" s="33"/>
      <c r="DZ41" s="36"/>
      <c r="EA41" s="109"/>
    </row>
    <row r="42" spans="1:131" s="1" customFormat="1" x14ac:dyDescent="0.25">
      <c r="A42" s="12" t="s">
        <v>564</v>
      </c>
      <c r="B42" s="24" t="s">
        <v>62</v>
      </c>
      <c r="C42" s="8" t="s">
        <v>227</v>
      </c>
      <c r="D42" s="24" t="s">
        <v>13</v>
      </c>
      <c r="E42" s="3">
        <v>255005</v>
      </c>
      <c r="F42" s="353">
        <v>4</v>
      </c>
      <c r="G42" s="353">
        <v>36</v>
      </c>
      <c r="H42" s="353">
        <v>1507</v>
      </c>
      <c r="I42" s="9" t="s">
        <v>13</v>
      </c>
      <c r="J42" s="10" t="s">
        <v>13</v>
      </c>
      <c r="K42" s="3">
        <v>4</v>
      </c>
      <c r="L42" s="3">
        <v>36</v>
      </c>
      <c r="M42" s="45"/>
      <c r="N42" s="3" t="s">
        <v>186</v>
      </c>
      <c r="O42" s="3" t="s">
        <v>189</v>
      </c>
      <c r="P42" s="11" t="s">
        <v>187</v>
      </c>
      <c r="Q42" s="11" t="s">
        <v>187</v>
      </c>
      <c r="R42" s="11" t="s">
        <v>193</v>
      </c>
      <c r="S42" s="3" t="s">
        <v>188</v>
      </c>
      <c r="T42" s="12" t="s">
        <v>110</v>
      </c>
      <c r="U42" s="12" t="s">
        <v>222</v>
      </c>
      <c r="V42" s="12"/>
      <c r="W42" s="12" t="s">
        <v>36</v>
      </c>
      <c r="X42" s="12" t="s">
        <v>13</v>
      </c>
      <c r="Y42" s="25" t="s">
        <v>69</v>
      </c>
      <c r="Z42" s="25">
        <v>45</v>
      </c>
      <c r="AA42" s="339" t="s">
        <v>130</v>
      </c>
      <c r="AB42" s="110" t="s">
        <v>37</v>
      </c>
      <c r="AC42" s="33">
        <v>700000</v>
      </c>
      <c r="AD42" s="33"/>
      <c r="AE42" s="7">
        <f t="shared" si="64"/>
        <v>700000</v>
      </c>
      <c r="AF42" s="33"/>
      <c r="AG42" s="7">
        <f t="shared" si="24"/>
        <v>700000</v>
      </c>
      <c r="AH42" s="33"/>
      <c r="AI42" s="7">
        <f t="shared" si="25"/>
        <v>700000</v>
      </c>
      <c r="AJ42" s="409"/>
      <c r="AK42" s="7">
        <v>1500000</v>
      </c>
      <c r="AL42" s="33"/>
      <c r="AM42" s="33">
        <f t="shared" si="28"/>
        <v>1500000</v>
      </c>
      <c r="AN42" s="33">
        <v>0</v>
      </c>
      <c r="AO42" s="33">
        <v>0</v>
      </c>
      <c r="AP42" s="7">
        <f t="shared" si="29"/>
        <v>0</v>
      </c>
      <c r="AQ42" s="33"/>
      <c r="AR42" s="33"/>
      <c r="AS42" s="7">
        <f t="shared" si="30"/>
        <v>0</v>
      </c>
      <c r="AT42" s="33"/>
      <c r="AU42" s="33"/>
      <c r="AV42" s="7">
        <f t="shared" si="31"/>
        <v>0</v>
      </c>
      <c r="AW42" s="33"/>
      <c r="AX42" s="33"/>
      <c r="AY42" s="7">
        <f t="shared" si="1"/>
        <v>0</v>
      </c>
      <c r="AZ42" s="33"/>
      <c r="BA42" s="33"/>
      <c r="BB42" s="7">
        <f t="shared" si="32"/>
        <v>0</v>
      </c>
      <c r="BC42" s="33"/>
      <c r="BD42" s="33"/>
      <c r="BE42" s="7">
        <f t="shared" si="33"/>
        <v>0</v>
      </c>
      <c r="BF42" s="33"/>
      <c r="BG42" s="33"/>
      <c r="BH42" s="7">
        <f t="shared" si="34"/>
        <v>0</v>
      </c>
      <c r="BI42" s="33"/>
      <c r="BJ42" s="33"/>
      <c r="BK42" s="7">
        <f t="shared" si="35"/>
        <v>0</v>
      </c>
      <c r="BL42" s="33"/>
      <c r="BM42" s="33"/>
      <c r="BN42" s="7">
        <f t="shared" si="36"/>
        <v>0</v>
      </c>
      <c r="BO42" s="33"/>
      <c r="BP42" s="33"/>
      <c r="BQ42" s="7">
        <f t="shared" si="37"/>
        <v>0</v>
      </c>
      <c r="BR42" s="33"/>
      <c r="BS42" s="33"/>
      <c r="BT42" s="7">
        <f t="shared" si="38"/>
        <v>0</v>
      </c>
      <c r="BU42" s="33"/>
      <c r="BV42" s="33"/>
      <c r="BW42" s="7">
        <f t="shared" si="39"/>
        <v>0</v>
      </c>
      <c r="BX42" s="33"/>
      <c r="BY42" s="7">
        <f t="shared" si="18"/>
        <v>0</v>
      </c>
      <c r="BZ42" s="7">
        <f t="shared" si="19"/>
        <v>0</v>
      </c>
      <c r="CA42" s="33"/>
      <c r="CB42" s="7">
        <f t="shared" si="20"/>
        <v>1500000</v>
      </c>
      <c r="CC42" s="7">
        <f t="shared" si="21"/>
        <v>1500000</v>
      </c>
      <c r="CD42" s="15">
        <f t="shared" si="22"/>
        <v>0</v>
      </c>
      <c r="CE42" s="15">
        <f t="shared" si="23"/>
        <v>0</v>
      </c>
      <c r="CF42" s="451" t="s">
        <v>764</v>
      </c>
      <c r="CG42" s="33">
        <v>4000000</v>
      </c>
      <c r="CH42" s="33">
        <v>6800000</v>
      </c>
      <c r="CI42" s="33"/>
      <c r="CJ42" s="33"/>
      <c r="CK42" s="33"/>
      <c r="CL42" s="7">
        <f t="shared" si="65"/>
        <v>0</v>
      </c>
      <c r="CM42" s="33"/>
      <c r="CN42" s="7">
        <f t="shared" si="66"/>
        <v>0</v>
      </c>
      <c r="CO42" s="33"/>
      <c r="CP42" s="33">
        <v>0</v>
      </c>
      <c r="CQ42" s="7">
        <f t="shared" si="67"/>
        <v>0</v>
      </c>
      <c r="CR42" s="7">
        <f t="shared" si="68"/>
        <v>0</v>
      </c>
      <c r="CS42" s="7">
        <f t="shared" si="69"/>
        <v>0</v>
      </c>
      <c r="CT42" s="33"/>
      <c r="CU42" s="33"/>
      <c r="CV42" s="7">
        <f t="shared" si="70"/>
        <v>0</v>
      </c>
      <c r="CW42" s="33"/>
      <c r="CX42" s="33"/>
      <c r="CY42" s="7">
        <f t="shared" si="71"/>
        <v>0</v>
      </c>
      <c r="CZ42" s="33"/>
      <c r="DA42" s="33"/>
      <c r="DB42" s="7">
        <f t="shared" si="51"/>
        <v>0</v>
      </c>
      <c r="DC42" s="33"/>
      <c r="DD42" s="7">
        <f t="shared" si="72"/>
        <v>0</v>
      </c>
      <c r="DE42" s="33"/>
      <c r="DF42" s="7">
        <f t="shared" si="73"/>
        <v>0</v>
      </c>
      <c r="DG42" s="33"/>
      <c r="DH42" s="7">
        <f t="shared" si="74"/>
        <v>0</v>
      </c>
      <c r="DI42" s="33"/>
      <c r="DJ42" s="7">
        <f t="shared" si="75"/>
        <v>0</v>
      </c>
      <c r="DK42" s="33"/>
      <c r="DL42" s="7">
        <f t="shared" si="76"/>
        <v>0</v>
      </c>
      <c r="DM42" s="33"/>
      <c r="DN42" s="7">
        <f t="shared" si="77"/>
        <v>0</v>
      </c>
      <c r="DO42" s="33"/>
      <c r="DP42" s="14">
        <f t="shared" si="78"/>
        <v>0</v>
      </c>
      <c r="DQ42" s="14">
        <f t="shared" si="59"/>
        <v>0</v>
      </c>
      <c r="DR42" s="7"/>
      <c r="DS42" s="7">
        <f t="shared" si="60"/>
        <v>700000</v>
      </c>
      <c r="DT42" s="7">
        <f t="shared" si="61"/>
        <v>700000</v>
      </c>
      <c r="DU42" s="15">
        <f t="shared" si="62"/>
        <v>0</v>
      </c>
      <c r="DV42" s="15">
        <f t="shared" si="63"/>
        <v>0</v>
      </c>
      <c r="DW42" s="33"/>
      <c r="DX42" s="33"/>
      <c r="DY42" s="33"/>
      <c r="DZ42" s="36"/>
      <c r="EA42" s="109"/>
    </row>
    <row r="43" spans="1:131" s="1" customFormat="1" x14ac:dyDescent="0.25">
      <c r="A43" s="12" t="s">
        <v>564</v>
      </c>
      <c r="B43" s="24" t="s">
        <v>62</v>
      </c>
      <c r="C43" s="8" t="s">
        <v>227</v>
      </c>
      <c r="D43" s="24" t="s">
        <v>13</v>
      </c>
      <c r="E43" s="3">
        <v>255005</v>
      </c>
      <c r="F43" s="353">
        <v>4</v>
      </c>
      <c r="G43" s="353">
        <v>36</v>
      </c>
      <c r="H43" s="353">
        <v>1508</v>
      </c>
      <c r="I43" s="9" t="s">
        <v>13</v>
      </c>
      <c r="J43" s="10" t="s">
        <v>13</v>
      </c>
      <c r="K43" s="3">
        <v>4</v>
      </c>
      <c r="L43" s="3">
        <v>36</v>
      </c>
      <c r="M43" s="45"/>
      <c r="N43" s="3" t="s">
        <v>186</v>
      </c>
      <c r="O43" s="3" t="s">
        <v>189</v>
      </c>
      <c r="P43" s="11" t="s">
        <v>187</v>
      </c>
      <c r="Q43" s="11" t="s">
        <v>187</v>
      </c>
      <c r="R43" s="11" t="s">
        <v>193</v>
      </c>
      <c r="S43" s="3" t="s">
        <v>188</v>
      </c>
      <c r="T43" s="12" t="s">
        <v>110</v>
      </c>
      <c r="U43" s="12" t="s">
        <v>222</v>
      </c>
      <c r="V43" s="12"/>
      <c r="W43" s="12" t="s">
        <v>36</v>
      </c>
      <c r="X43" s="12" t="s">
        <v>13</v>
      </c>
      <c r="Y43" s="25" t="s">
        <v>69</v>
      </c>
      <c r="Z43" s="25" t="s">
        <v>142</v>
      </c>
      <c r="AA43" s="10" t="s">
        <v>534</v>
      </c>
      <c r="AB43" s="110" t="s">
        <v>37</v>
      </c>
      <c r="AC43" s="33">
        <v>2500000</v>
      </c>
      <c r="AD43" s="33"/>
      <c r="AE43" s="7">
        <f t="shared" si="64"/>
        <v>2500000</v>
      </c>
      <c r="AF43" s="33">
        <v>1000000</v>
      </c>
      <c r="AG43" s="7">
        <f t="shared" si="24"/>
        <v>3500000</v>
      </c>
      <c r="AH43" s="33"/>
      <c r="AI43" s="7">
        <f t="shared" si="25"/>
        <v>3500000</v>
      </c>
      <c r="AJ43" s="409"/>
      <c r="AK43" s="7">
        <v>775000</v>
      </c>
      <c r="AL43" s="33"/>
      <c r="AM43" s="33">
        <f t="shared" si="28"/>
        <v>775000</v>
      </c>
      <c r="AN43" s="33">
        <v>0</v>
      </c>
      <c r="AO43" s="33">
        <v>0</v>
      </c>
      <c r="AP43" s="7">
        <f t="shared" si="29"/>
        <v>0</v>
      </c>
      <c r="AQ43" s="33">
        <v>23366.2</v>
      </c>
      <c r="AR43" s="33">
        <v>3271.27</v>
      </c>
      <c r="AS43" s="7">
        <f t="shared" si="30"/>
        <v>26637.47</v>
      </c>
      <c r="AT43" s="33">
        <v>45833.96</v>
      </c>
      <c r="AU43" s="33">
        <v>6416.75</v>
      </c>
      <c r="AV43" s="7">
        <f t="shared" si="31"/>
        <v>52250.71</v>
      </c>
      <c r="AW43" s="33">
        <v>425949.5</v>
      </c>
      <c r="AX43" s="33">
        <v>59632.93</v>
      </c>
      <c r="AY43" s="7">
        <f t="shared" si="1"/>
        <v>485582.43</v>
      </c>
      <c r="AZ43" s="33"/>
      <c r="BA43" s="33"/>
      <c r="BB43" s="7">
        <f t="shared" si="32"/>
        <v>0</v>
      </c>
      <c r="BC43" s="33"/>
      <c r="BD43" s="33"/>
      <c r="BE43" s="7">
        <f t="shared" si="33"/>
        <v>0</v>
      </c>
      <c r="BF43" s="33"/>
      <c r="BG43" s="33"/>
      <c r="BH43" s="7">
        <f t="shared" si="34"/>
        <v>0</v>
      </c>
      <c r="BI43" s="33"/>
      <c r="BJ43" s="33"/>
      <c r="BK43" s="7">
        <f t="shared" si="35"/>
        <v>0</v>
      </c>
      <c r="BL43" s="33"/>
      <c r="BM43" s="33"/>
      <c r="BN43" s="7">
        <f t="shared" si="36"/>
        <v>0</v>
      </c>
      <c r="BO43" s="33"/>
      <c r="BP43" s="33"/>
      <c r="BQ43" s="7">
        <f t="shared" si="37"/>
        <v>0</v>
      </c>
      <c r="BR43" s="33"/>
      <c r="BS43" s="33"/>
      <c r="BT43" s="7">
        <f t="shared" si="38"/>
        <v>0</v>
      </c>
      <c r="BU43" s="33"/>
      <c r="BV43" s="33"/>
      <c r="BW43" s="7">
        <f t="shared" si="39"/>
        <v>0</v>
      </c>
      <c r="BX43" s="33"/>
      <c r="BY43" s="7">
        <f t="shared" si="18"/>
        <v>495149.66000000003</v>
      </c>
      <c r="BZ43" s="7">
        <f t="shared" si="19"/>
        <v>564470.61</v>
      </c>
      <c r="CA43" s="33"/>
      <c r="CB43" s="7">
        <f t="shared" si="20"/>
        <v>279850.33999999997</v>
      </c>
      <c r="CC43" s="7">
        <f t="shared" si="21"/>
        <v>210529.39</v>
      </c>
      <c r="CD43" s="15">
        <f t="shared" si="22"/>
        <v>0.63890278709677428</v>
      </c>
      <c r="CE43" s="15">
        <f t="shared" si="23"/>
        <v>0.72834917419354839</v>
      </c>
      <c r="CF43" s="451" t="s">
        <v>860</v>
      </c>
      <c r="CG43" s="33">
        <v>0</v>
      </c>
      <c r="CH43" s="33"/>
      <c r="CI43" s="33"/>
      <c r="CJ43" s="33"/>
      <c r="CK43" s="33"/>
      <c r="CL43" s="7">
        <f t="shared" si="65"/>
        <v>0</v>
      </c>
      <c r="CM43" s="33"/>
      <c r="CN43" s="7">
        <f t="shared" si="66"/>
        <v>0</v>
      </c>
      <c r="CO43" s="33">
        <v>81590</v>
      </c>
      <c r="CP43" s="33">
        <v>11422.6</v>
      </c>
      <c r="CQ43" s="7">
        <f t="shared" si="67"/>
        <v>93012.6</v>
      </c>
      <c r="CR43" s="7">
        <f t="shared" si="68"/>
        <v>81590</v>
      </c>
      <c r="CS43" s="7">
        <f t="shared" si="69"/>
        <v>93012.6</v>
      </c>
      <c r="CT43" s="33"/>
      <c r="CU43" s="33"/>
      <c r="CV43" s="7">
        <f t="shared" si="70"/>
        <v>0</v>
      </c>
      <c r="CW43" s="33"/>
      <c r="CX43" s="33"/>
      <c r="CY43" s="7">
        <f t="shared" si="71"/>
        <v>0</v>
      </c>
      <c r="CZ43" s="33"/>
      <c r="DA43" s="33"/>
      <c r="DB43" s="7">
        <f t="shared" si="51"/>
        <v>0</v>
      </c>
      <c r="DC43" s="33"/>
      <c r="DD43" s="7">
        <f t="shared" si="72"/>
        <v>0</v>
      </c>
      <c r="DE43" s="33"/>
      <c r="DF43" s="7">
        <f t="shared" si="73"/>
        <v>0</v>
      </c>
      <c r="DG43" s="33"/>
      <c r="DH43" s="7">
        <f t="shared" si="74"/>
        <v>0</v>
      </c>
      <c r="DI43" s="33"/>
      <c r="DJ43" s="7">
        <f t="shared" si="75"/>
        <v>0</v>
      </c>
      <c r="DK43" s="33"/>
      <c r="DL43" s="7">
        <f t="shared" si="76"/>
        <v>0</v>
      </c>
      <c r="DM43" s="33"/>
      <c r="DN43" s="7">
        <f t="shared" si="77"/>
        <v>0</v>
      </c>
      <c r="DO43" s="33"/>
      <c r="DP43" s="14">
        <f t="shared" si="78"/>
        <v>81590</v>
      </c>
      <c r="DQ43" s="14">
        <f t="shared" si="59"/>
        <v>93012.6</v>
      </c>
      <c r="DR43" s="7"/>
      <c r="DS43" s="7">
        <f t="shared" si="60"/>
        <v>3418410</v>
      </c>
      <c r="DT43" s="7">
        <f t="shared" si="61"/>
        <v>3406987.4</v>
      </c>
      <c r="DU43" s="15">
        <f t="shared" si="62"/>
        <v>2.331142857142857E-2</v>
      </c>
      <c r="DV43" s="15">
        <f t="shared" si="63"/>
        <v>2.6575028571428572E-2</v>
      </c>
      <c r="DW43" s="33"/>
      <c r="DX43" s="33"/>
      <c r="DY43" s="33"/>
      <c r="DZ43" s="36"/>
      <c r="EA43" s="109"/>
    </row>
    <row r="44" spans="1:131" s="1" customFormat="1" ht="30.75" x14ac:dyDescent="0.25">
      <c r="A44" s="12" t="s">
        <v>564</v>
      </c>
      <c r="B44" s="24"/>
      <c r="C44" s="8" t="s">
        <v>227</v>
      </c>
      <c r="D44" s="24"/>
      <c r="E44" s="3">
        <v>255005</v>
      </c>
      <c r="F44" s="353">
        <v>6</v>
      </c>
      <c r="G44" s="353">
        <v>35</v>
      </c>
      <c r="H44" s="353">
        <v>1506</v>
      </c>
      <c r="I44" s="9" t="s">
        <v>13</v>
      </c>
      <c r="J44" s="10" t="s">
        <v>13</v>
      </c>
      <c r="K44" s="3"/>
      <c r="L44" s="3"/>
      <c r="M44" s="45"/>
      <c r="N44" s="3" t="s">
        <v>186</v>
      </c>
      <c r="O44" s="3" t="s">
        <v>189</v>
      </c>
      <c r="P44" s="11" t="s">
        <v>187</v>
      </c>
      <c r="Q44" s="11" t="s">
        <v>187</v>
      </c>
      <c r="R44" s="11" t="s">
        <v>193</v>
      </c>
      <c r="S44" s="11" t="s">
        <v>259</v>
      </c>
      <c r="T44" s="12" t="s">
        <v>110</v>
      </c>
      <c r="U44" s="12" t="s">
        <v>222</v>
      </c>
      <c r="V44" s="12"/>
      <c r="W44" s="12" t="s">
        <v>36</v>
      </c>
      <c r="X44" s="12" t="s">
        <v>13</v>
      </c>
      <c r="Y44" s="25" t="s">
        <v>69</v>
      </c>
      <c r="Z44" s="25" t="s">
        <v>142</v>
      </c>
      <c r="AA44" s="10" t="s">
        <v>134</v>
      </c>
      <c r="AB44" s="110" t="s">
        <v>703</v>
      </c>
      <c r="AC44" s="33"/>
      <c r="AD44" s="33"/>
      <c r="AE44" s="7"/>
      <c r="AF44" s="33"/>
      <c r="AG44" s="7"/>
      <c r="AH44" s="33"/>
      <c r="AI44" s="7"/>
      <c r="AJ44" s="409"/>
      <c r="AK44" s="7"/>
      <c r="AL44" s="33">
        <v>5687069</v>
      </c>
      <c r="AM44" s="33">
        <f t="shared" si="28"/>
        <v>5687069</v>
      </c>
      <c r="AN44" s="33"/>
      <c r="AO44" s="33"/>
      <c r="AP44" s="7">
        <f t="shared" si="29"/>
        <v>0</v>
      </c>
      <c r="AQ44" s="33"/>
      <c r="AR44" s="33"/>
      <c r="AS44" s="7">
        <f t="shared" si="30"/>
        <v>0</v>
      </c>
      <c r="AT44" s="33"/>
      <c r="AU44" s="33"/>
      <c r="AV44" s="7">
        <f t="shared" si="31"/>
        <v>0</v>
      </c>
      <c r="AW44" s="33"/>
      <c r="AX44" s="33"/>
      <c r="AY44" s="7">
        <f t="shared" si="1"/>
        <v>0</v>
      </c>
      <c r="AZ44" s="33"/>
      <c r="BA44" s="33"/>
      <c r="BB44" s="7"/>
      <c r="BC44" s="33"/>
      <c r="BD44" s="33"/>
      <c r="BE44" s="7"/>
      <c r="BF44" s="33"/>
      <c r="BG44" s="33"/>
      <c r="BH44" s="7"/>
      <c r="BI44" s="33"/>
      <c r="BJ44" s="33"/>
      <c r="BK44" s="7"/>
      <c r="BL44" s="33"/>
      <c r="BM44" s="33"/>
      <c r="BN44" s="7"/>
      <c r="BO44" s="33"/>
      <c r="BP44" s="33"/>
      <c r="BQ44" s="7"/>
      <c r="BR44" s="33"/>
      <c r="BS44" s="33"/>
      <c r="BT44" s="7"/>
      <c r="BU44" s="33"/>
      <c r="BV44" s="33"/>
      <c r="BW44" s="7"/>
      <c r="BX44" s="33"/>
      <c r="BY44" s="7">
        <f t="shared" si="18"/>
        <v>0</v>
      </c>
      <c r="BZ44" s="7">
        <f t="shared" si="19"/>
        <v>0</v>
      </c>
      <c r="CA44" s="33"/>
      <c r="CB44" s="7">
        <f t="shared" si="20"/>
        <v>5687069</v>
      </c>
      <c r="CC44" s="7">
        <f t="shared" si="21"/>
        <v>5687069</v>
      </c>
      <c r="CD44" s="15">
        <f t="shared" si="22"/>
        <v>0</v>
      </c>
      <c r="CE44" s="15">
        <f t="shared" si="23"/>
        <v>0</v>
      </c>
      <c r="CF44" s="451" t="s">
        <v>860</v>
      </c>
      <c r="CG44" s="33"/>
      <c r="CH44" s="33"/>
      <c r="CI44" s="33"/>
      <c r="CJ44" s="33"/>
      <c r="CK44" s="33"/>
      <c r="CL44" s="7"/>
      <c r="CM44" s="33"/>
      <c r="CN44" s="7"/>
      <c r="CO44" s="33"/>
      <c r="CP44" s="33"/>
      <c r="CQ44" s="7"/>
      <c r="CR44" s="7"/>
      <c r="CS44" s="7"/>
      <c r="CT44" s="33"/>
      <c r="CU44" s="33"/>
      <c r="CV44" s="7"/>
      <c r="CW44" s="33"/>
      <c r="CX44" s="33"/>
      <c r="CY44" s="7"/>
      <c r="CZ44" s="33"/>
      <c r="DA44" s="33"/>
      <c r="DB44" s="7"/>
      <c r="DC44" s="33"/>
      <c r="DD44" s="7"/>
      <c r="DE44" s="33"/>
      <c r="DF44" s="7"/>
      <c r="DG44" s="33"/>
      <c r="DH44" s="7"/>
      <c r="DI44" s="33"/>
      <c r="DJ44" s="7"/>
      <c r="DK44" s="33"/>
      <c r="DL44" s="7"/>
      <c r="DM44" s="33"/>
      <c r="DN44" s="7"/>
      <c r="DO44" s="33"/>
      <c r="DP44" s="14"/>
      <c r="DQ44" s="14"/>
      <c r="DR44" s="7"/>
      <c r="DS44" s="7"/>
      <c r="DT44" s="7"/>
      <c r="DU44" s="15"/>
      <c r="DV44" s="15"/>
      <c r="DW44" s="33"/>
      <c r="DX44" s="33"/>
      <c r="DY44" s="33"/>
      <c r="DZ44" s="36"/>
      <c r="EA44" s="109"/>
    </row>
    <row r="45" spans="1:131" s="1" customFormat="1" x14ac:dyDescent="0.25">
      <c r="A45" s="12" t="s">
        <v>564</v>
      </c>
      <c r="B45" s="24" t="s">
        <v>62</v>
      </c>
      <c r="C45" s="8" t="s">
        <v>227</v>
      </c>
      <c r="D45" s="24"/>
      <c r="E45" s="3">
        <v>255005</v>
      </c>
      <c r="F45" s="353">
        <v>4</v>
      </c>
      <c r="G45" s="353">
        <v>35</v>
      </c>
      <c r="H45" s="353">
        <v>1505</v>
      </c>
      <c r="I45" s="9" t="s">
        <v>13</v>
      </c>
      <c r="J45" s="10" t="s">
        <v>13</v>
      </c>
      <c r="K45" s="3">
        <v>4</v>
      </c>
      <c r="L45" s="3">
        <v>35</v>
      </c>
      <c r="M45" s="45"/>
      <c r="N45" s="3" t="s">
        <v>186</v>
      </c>
      <c r="O45" s="3" t="s">
        <v>189</v>
      </c>
      <c r="P45" s="11" t="s">
        <v>187</v>
      </c>
      <c r="Q45" s="11" t="s">
        <v>187</v>
      </c>
      <c r="R45" s="11" t="s">
        <v>193</v>
      </c>
      <c r="S45" s="3" t="s">
        <v>188</v>
      </c>
      <c r="T45" s="12" t="s">
        <v>110</v>
      </c>
      <c r="U45" s="12" t="s">
        <v>222</v>
      </c>
      <c r="V45" s="12"/>
      <c r="W45" s="12" t="s">
        <v>36</v>
      </c>
      <c r="X45" s="12" t="s">
        <v>13</v>
      </c>
      <c r="Y45" s="25" t="s">
        <v>69</v>
      </c>
      <c r="Z45" s="347">
        <v>15</v>
      </c>
      <c r="AA45" s="10" t="s">
        <v>200</v>
      </c>
      <c r="AB45" s="110" t="s">
        <v>38</v>
      </c>
      <c r="AC45" s="33">
        <v>350000</v>
      </c>
      <c r="AD45" s="33"/>
      <c r="AE45" s="7">
        <f t="shared" si="64"/>
        <v>350000</v>
      </c>
      <c r="AF45" s="33"/>
      <c r="AG45" s="7">
        <f t="shared" si="24"/>
        <v>350000</v>
      </c>
      <c r="AH45" s="33"/>
      <c r="AI45" s="7">
        <f t="shared" si="25"/>
        <v>350000</v>
      </c>
      <c r="AJ45" s="409"/>
      <c r="AK45" s="7">
        <v>700000</v>
      </c>
      <c r="AL45" s="33"/>
      <c r="AM45" s="33">
        <f t="shared" si="28"/>
        <v>700000</v>
      </c>
      <c r="AN45" s="33">
        <v>0</v>
      </c>
      <c r="AO45" s="33">
        <v>0</v>
      </c>
      <c r="AP45" s="7">
        <f t="shared" si="29"/>
        <v>0</v>
      </c>
      <c r="AQ45" s="33"/>
      <c r="AR45" s="33"/>
      <c r="AS45" s="7">
        <f t="shared" si="30"/>
        <v>0</v>
      </c>
      <c r="AT45" s="33"/>
      <c r="AU45" s="33"/>
      <c r="AV45" s="7">
        <f t="shared" si="31"/>
        <v>0</v>
      </c>
      <c r="AW45" s="33"/>
      <c r="AX45" s="33"/>
      <c r="AY45" s="7">
        <f t="shared" si="1"/>
        <v>0</v>
      </c>
      <c r="AZ45" s="33"/>
      <c r="BA45" s="33"/>
      <c r="BB45" s="7">
        <f t="shared" si="32"/>
        <v>0</v>
      </c>
      <c r="BC45" s="33"/>
      <c r="BD45" s="33"/>
      <c r="BE45" s="7">
        <f t="shared" si="33"/>
        <v>0</v>
      </c>
      <c r="BF45" s="33"/>
      <c r="BG45" s="33"/>
      <c r="BH45" s="7">
        <f t="shared" si="34"/>
        <v>0</v>
      </c>
      <c r="BI45" s="33"/>
      <c r="BJ45" s="33"/>
      <c r="BK45" s="7">
        <f t="shared" si="35"/>
        <v>0</v>
      </c>
      <c r="BL45" s="33"/>
      <c r="BM45" s="33"/>
      <c r="BN45" s="7">
        <f t="shared" si="36"/>
        <v>0</v>
      </c>
      <c r="BO45" s="33"/>
      <c r="BP45" s="33"/>
      <c r="BQ45" s="7">
        <f t="shared" si="37"/>
        <v>0</v>
      </c>
      <c r="BR45" s="33"/>
      <c r="BS45" s="33"/>
      <c r="BT45" s="7">
        <f t="shared" si="38"/>
        <v>0</v>
      </c>
      <c r="BU45" s="33"/>
      <c r="BV45" s="33"/>
      <c r="BW45" s="7">
        <f t="shared" si="39"/>
        <v>0</v>
      </c>
      <c r="BX45" s="33"/>
      <c r="BY45" s="7">
        <f t="shared" si="18"/>
        <v>0</v>
      </c>
      <c r="BZ45" s="7">
        <f t="shared" si="19"/>
        <v>0</v>
      </c>
      <c r="CA45" s="33"/>
      <c r="CB45" s="7">
        <f t="shared" si="20"/>
        <v>700000</v>
      </c>
      <c r="CC45" s="7">
        <f t="shared" si="21"/>
        <v>700000</v>
      </c>
      <c r="CD45" s="15">
        <f t="shared" si="22"/>
        <v>0</v>
      </c>
      <c r="CE45" s="15">
        <f t="shared" si="23"/>
        <v>0</v>
      </c>
      <c r="CF45" s="451" t="s">
        <v>765</v>
      </c>
      <c r="CG45" s="33">
        <v>1300000</v>
      </c>
      <c r="CH45" s="33">
        <v>3300000</v>
      </c>
      <c r="CI45" s="33">
        <v>10000000</v>
      </c>
      <c r="CJ45" s="33"/>
      <c r="CK45" s="33"/>
      <c r="CL45" s="7">
        <f t="shared" si="65"/>
        <v>0</v>
      </c>
      <c r="CM45" s="33"/>
      <c r="CN45" s="7">
        <f t="shared" si="66"/>
        <v>0</v>
      </c>
      <c r="CO45" s="33"/>
      <c r="CP45" s="33"/>
      <c r="CQ45" s="7">
        <f t="shared" si="67"/>
        <v>0</v>
      </c>
      <c r="CR45" s="7">
        <f t="shared" si="68"/>
        <v>0</v>
      </c>
      <c r="CS45" s="7">
        <f t="shared" si="69"/>
        <v>0</v>
      </c>
      <c r="CT45" s="33"/>
      <c r="CU45" s="33"/>
      <c r="CV45" s="7">
        <f t="shared" si="70"/>
        <v>0</v>
      </c>
      <c r="CW45" s="33"/>
      <c r="CX45" s="33"/>
      <c r="CY45" s="7">
        <f t="shared" si="71"/>
        <v>0</v>
      </c>
      <c r="CZ45" s="33"/>
      <c r="DA45" s="33"/>
      <c r="DB45" s="7">
        <f t="shared" si="51"/>
        <v>0</v>
      </c>
      <c r="DC45" s="33"/>
      <c r="DD45" s="7">
        <f t="shared" si="72"/>
        <v>0</v>
      </c>
      <c r="DE45" s="33"/>
      <c r="DF45" s="7">
        <f t="shared" si="73"/>
        <v>0</v>
      </c>
      <c r="DG45" s="33"/>
      <c r="DH45" s="7">
        <f t="shared" si="74"/>
        <v>0</v>
      </c>
      <c r="DI45" s="33"/>
      <c r="DJ45" s="7">
        <f t="shared" si="75"/>
        <v>0</v>
      </c>
      <c r="DK45" s="33"/>
      <c r="DL45" s="7">
        <f t="shared" si="76"/>
        <v>0</v>
      </c>
      <c r="DM45" s="33"/>
      <c r="DN45" s="7">
        <f t="shared" si="77"/>
        <v>0</v>
      </c>
      <c r="DO45" s="33"/>
      <c r="DP45" s="14">
        <f t="shared" si="78"/>
        <v>0</v>
      </c>
      <c r="DQ45" s="14">
        <f t="shared" si="59"/>
        <v>0</v>
      </c>
      <c r="DR45" s="7"/>
      <c r="DS45" s="7">
        <f t="shared" si="60"/>
        <v>350000</v>
      </c>
      <c r="DT45" s="7">
        <f t="shared" si="61"/>
        <v>350000</v>
      </c>
      <c r="DU45" s="15">
        <f t="shared" si="62"/>
        <v>0</v>
      </c>
      <c r="DV45" s="15">
        <f t="shared" si="63"/>
        <v>0</v>
      </c>
      <c r="DW45" s="291"/>
      <c r="DX45" s="291"/>
      <c r="DY45" s="33"/>
      <c r="DZ45" s="36"/>
      <c r="EA45" s="109"/>
    </row>
    <row r="46" spans="1:131" s="1" customFormat="1" x14ac:dyDescent="0.25">
      <c r="A46" s="12" t="s">
        <v>564</v>
      </c>
      <c r="B46" s="24"/>
      <c r="C46" s="8" t="s">
        <v>227</v>
      </c>
      <c r="D46" s="24"/>
      <c r="E46" s="3">
        <v>255005</v>
      </c>
      <c r="F46" s="353">
        <v>6</v>
      </c>
      <c r="G46" s="353">
        <v>35</v>
      </c>
      <c r="H46" s="353">
        <v>1501</v>
      </c>
      <c r="I46" s="9" t="s">
        <v>13</v>
      </c>
      <c r="J46" s="10" t="s">
        <v>13</v>
      </c>
      <c r="K46" s="3"/>
      <c r="L46" s="3"/>
      <c r="M46" s="45"/>
      <c r="N46" s="3" t="s">
        <v>186</v>
      </c>
      <c r="O46" s="3" t="s">
        <v>189</v>
      </c>
      <c r="P46" s="11" t="s">
        <v>187</v>
      </c>
      <c r="Q46" s="11" t="s">
        <v>187</v>
      </c>
      <c r="R46" s="11" t="s">
        <v>193</v>
      </c>
      <c r="S46" s="11" t="s">
        <v>259</v>
      </c>
      <c r="T46" s="12" t="s">
        <v>110</v>
      </c>
      <c r="U46" s="12" t="s">
        <v>222</v>
      </c>
      <c r="V46" s="12"/>
      <c r="W46" s="12" t="s">
        <v>36</v>
      </c>
      <c r="X46" s="12" t="s">
        <v>13</v>
      </c>
      <c r="Y46" s="25" t="s">
        <v>69</v>
      </c>
      <c r="Z46" s="347">
        <v>15</v>
      </c>
      <c r="AA46" s="10" t="s">
        <v>200</v>
      </c>
      <c r="AB46" s="110" t="s">
        <v>703</v>
      </c>
      <c r="AC46" s="33"/>
      <c r="AD46" s="33"/>
      <c r="AE46" s="7"/>
      <c r="AF46" s="33"/>
      <c r="AG46" s="7"/>
      <c r="AH46" s="33"/>
      <c r="AI46" s="7"/>
      <c r="AJ46" s="409"/>
      <c r="AK46" s="7"/>
      <c r="AL46" s="33">
        <v>350000</v>
      </c>
      <c r="AM46" s="33">
        <f t="shared" si="28"/>
        <v>350000</v>
      </c>
      <c r="AN46" s="33"/>
      <c r="AO46" s="33"/>
      <c r="AP46" s="7">
        <f t="shared" si="29"/>
        <v>0</v>
      </c>
      <c r="AQ46" s="33"/>
      <c r="AR46" s="33"/>
      <c r="AS46" s="7">
        <f t="shared" si="30"/>
        <v>0</v>
      </c>
      <c r="AT46" s="33"/>
      <c r="AU46" s="33"/>
      <c r="AV46" s="7">
        <f t="shared" si="31"/>
        <v>0</v>
      </c>
      <c r="AW46" s="33"/>
      <c r="AX46" s="33"/>
      <c r="AY46" s="7">
        <f t="shared" si="1"/>
        <v>0</v>
      </c>
      <c r="AZ46" s="33"/>
      <c r="BA46" s="33"/>
      <c r="BB46" s="7"/>
      <c r="BC46" s="33"/>
      <c r="BD46" s="33"/>
      <c r="BE46" s="7"/>
      <c r="BF46" s="33"/>
      <c r="BG46" s="33"/>
      <c r="BH46" s="7"/>
      <c r="BI46" s="33"/>
      <c r="BJ46" s="33"/>
      <c r="BK46" s="7"/>
      <c r="BL46" s="33"/>
      <c r="BM46" s="33"/>
      <c r="BN46" s="7"/>
      <c r="BO46" s="33"/>
      <c r="BP46" s="33"/>
      <c r="BQ46" s="7"/>
      <c r="BR46" s="33"/>
      <c r="BS46" s="33"/>
      <c r="BT46" s="7"/>
      <c r="BU46" s="33"/>
      <c r="BV46" s="33"/>
      <c r="BW46" s="7"/>
      <c r="BX46" s="33"/>
      <c r="BY46" s="7">
        <f t="shared" si="18"/>
        <v>0</v>
      </c>
      <c r="BZ46" s="7">
        <f t="shared" si="19"/>
        <v>0</v>
      </c>
      <c r="CA46" s="33"/>
      <c r="CB46" s="7">
        <f t="shared" si="20"/>
        <v>350000</v>
      </c>
      <c r="CC46" s="7">
        <f t="shared" si="21"/>
        <v>350000</v>
      </c>
      <c r="CD46" s="15">
        <f t="shared" si="22"/>
        <v>0</v>
      </c>
      <c r="CE46" s="15">
        <f t="shared" si="23"/>
        <v>0</v>
      </c>
      <c r="CF46" s="451" t="s">
        <v>765</v>
      </c>
      <c r="CG46" s="33"/>
      <c r="CH46" s="33"/>
      <c r="CI46" s="33"/>
      <c r="CJ46" s="33"/>
      <c r="CK46" s="33"/>
      <c r="CL46" s="7"/>
      <c r="CM46" s="33"/>
      <c r="CN46" s="7"/>
      <c r="CO46" s="33"/>
      <c r="CP46" s="33"/>
      <c r="CQ46" s="7"/>
      <c r="CR46" s="7"/>
      <c r="CS46" s="7"/>
      <c r="CT46" s="33"/>
      <c r="CU46" s="33"/>
      <c r="CV46" s="7"/>
      <c r="CW46" s="33"/>
      <c r="CX46" s="33"/>
      <c r="CY46" s="7"/>
      <c r="CZ46" s="33"/>
      <c r="DA46" s="33"/>
      <c r="DB46" s="7"/>
      <c r="DC46" s="33"/>
      <c r="DD46" s="7"/>
      <c r="DE46" s="33"/>
      <c r="DF46" s="7"/>
      <c r="DG46" s="33"/>
      <c r="DH46" s="7"/>
      <c r="DI46" s="33"/>
      <c r="DJ46" s="7"/>
      <c r="DK46" s="33"/>
      <c r="DL46" s="7"/>
      <c r="DM46" s="33"/>
      <c r="DN46" s="7"/>
      <c r="DO46" s="33"/>
      <c r="DP46" s="14"/>
      <c r="DQ46" s="14"/>
      <c r="DR46" s="7"/>
      <c r="DS46" s="7"/>
      <c r="DT46" s="7"/>
      <c r="DU46" s="15"/>
      <c r="DV46" s="15"/>
      <c r="DW46" s="291"/>
      <c r="DX46" s="291"/>
      <c r="DY46" s="33"/>
      <c r="DZ46" s="36"/>
      <c r="EA46" s="109"/>
    </row>
    <row r="47" spans="1:131" s="1" customFormat="1" x14ac:dyDescent="0.25">
      <c r="A47" s="12" t="s">
        <v>564</v>
      </c>
      <c r="B47" s="24" t="s">
        <v>62</v>
      </c>
      <c r="C47" s="8" t="s">
        <v>227</v>
      </c>
      <c r="D47" s="24"/>
      <c r="E47" s="3">
        <v>255005</v>
      </c>
      <c r="F47" s="353">
        <v>4</v>
      </c>
      <c r="G47" s="353">
        <v>35</v>
      </c>
      <c r="H47" s="353">
        <v>1506</v>
      </c>
      <c r="I47" s="9" t="s">
        <v>13</v>
      </c>
      <c r="J47" s="10" t="s">
        <v>13</v>
      </c>
      <c r="K47" s="3">
        <v>4</v>
      </c>
      <c r="L47" s="3">
        <v>35</v>
      </c>
      <c r="M47" s="45"/>
      <c r="N47" s="3" t="s">
        <v>186</v>
      </c>
      <c r="O47" s="3" t="s">
        <v>189</v>
      </c>
      <c r="P47" s="11" t="s">
        <v>187</v>
      </c>
      <c r="Q47" s="11" t="s">
        <v>187</v>
      </c>
      <c r="R47" s="11" t="s">
        <v>193</v>
      </c>
      <c r="S47" s="3" t="s">
        <v>188</v>
      </c>
      <c r="T47" s="12" t="s">
        <v>110</v>
      </c>
      <c r="U47" s="12" t="s">
        <v>222</v>
      </c>
      <c r="V47" s="12"/>
      <c r="W47" s="12" t="s">
        <v>36</v>
      </c>
      <c r="X47" s="12" t="s">
        <v>13</v>
      </c>
      <c r="Y47" s="25" t="s">
        <v>69</v>
      </c>
      <c r="Z47" s="25">
        <v>2</v>
      </c>
      <c r="AA47" s="10" t="s">
        <v>535</v>
      </c>
      <c r="AB47" s="110" t="s">
        <v>38</v>
      </c>
      <c r="AC47" s="36">
        <v>500000</v>
      </c>
      <c r="AD47" s="36"/>
      <c r="AE47" s="7">
        <f t="shared" si="64"/>
        <v>500000</v>
      </c>
      <c r="AF47" s="33"/>
      <c r="AG47" s="7">
        <f t="shared" si="24"/>
        <v>500000</v>
      </c>
      <c r="AH47" s="33"/>
      <c r="AI47" s="7">
        <f t="shared" si="25"/>
        <v>500000</v>
      </c>
      <c r="AJ47" s="409"/>
      <c r="AK47" s="27">
        <v>700000</v>
      </c>
      <c r="AL47" s="36"/>
      <c r="AM47" s="33">
        <f t="shared" si="28"/>
        <v>700000</v>
      </c>
      <c r="AN47" s="36">
        <v>0</v>
      </c>
      <c r="AO47" s="36">
        <v>0</v>
      </c>
      <c r="AP47" s="7">
        <f t="shared" si="29"/>
        <v>0</v>
      </c>
      <c r="AQ47" s="36"/>
      <c r="AR47" s="36"/>
      <c r="AS47" s="7">
        <f t="shared" si="30"/>
        <v>0</v>
      </c>
      <c r="AT47" s="36"/>
      <c r="AU47" s="36"/>
      <c r="AV47" s="7">
        <f t="shared" si="31"/>
        <v>0</v>
      </c>
      <c r="AW47" s="33"/>
      <c r="AX47" s="33"/>
      <c r="AY47" s="7">
        <f t="shared" si="1"/>
        <v>0</v>
      </c>
      <c r="AZ47" s="33"/>
      <c r="BA47" s="33"/>
      <c r="BB47" s="7">
        <f t="shared" si="32"/>
        <v>0</v>
      </c>
      <c r="BC47" s="33"/>
      <c r="BD47" s="33"/>
      <c r="BE47" s="7">
        <f t="shared" si="33"/>
        <v>0</v>
      </c>
      <c r="BF47" s="33"/>
      <c r="BG47" s="33"/>
      <c r="BH47" s="7">
        <f t="shared" si="34"/>
        <v>0</v>
      </c>
      <c r="BI47" s="33"/>
      <c r="BJ47" s="33"/>
      <c r="BK47" s="7">
        <f t="shared" si="35"/>
        <v>0</v>
      </c>
      <c r="BL47" s="33"/>
      <c r="BM47" s="33"/>
      <c r="BN47" s="7">
        <f t="shared" si="36"/>
        <v>0</v>
      </c>
      <c r="BO47" s="33"/>
      <c r="BP47" s="33"/>
      <c r="BQ47" s="7">
        <f t="shared" si="37"/>
        <v>0</v>
      </c>
      <c r="BR47" s="33"/>
      <c r="BS47" s="33"/>
      <c r="BT47" s="7">
        <f t="shared" si="38"/>
        <v>0</v>
      </c>
      <c r="BU47" s="33"/>
      <c r="BV47" s="33"/>
      <c r="BW47" s="7">
        <f t="shared" si="39"/>
        <v>0</v>
      </c>
      <c r="BX47" s="33"/>
      <c r="BY47" s="7">
        <f t="shared" si="18"/>
        <v>0</v>
      </c>
      <c r="BZ47" s="7">
        <f t="shared" si="19"/>
        <v>0</v>
      </c>
      <c r="CA47" s="33"/>
      <c r="CB47" s="7">
        <f t="shared" si="20"/>
        <v>700000</v>
      </c>
      <c r="CC47" s="7">
        <f t="shared" si="21"/>
        <v>700000</v>
      </c>
      <c r="CD47" s="15">
        <f t="shared" si="22"/>
        <v>0</v>
      </c>
      <c r="CE47" s="15">
        <f t="shared" si="23"/>
        <v>0</v>
      </c>
      <c r="CF47" s="451" t="s">
        <v>765</v>
      </c>
      <c r="CG47" s="36">
        <v>1300000</v>
      </c>
      <c r="CH47" s="33">
        <v>2000000</v>
      </c>
      <c r="CI47" s="33">
        <v>10000000</v>
      </c>
      <c r="CJ47" s="33"/>
      <c r="CK47" s="36"/>
      <c r="CL47" s="7">
        <f t="shared" si="65"/>
        <v>0</v>
      </c>
      <c r="CM47" s="36"/>
      <c r="CN47" s="7">
        <f t="shared" si="66"/>
        <v>0</v>
      </c>
      <c r="CO47" s="36"/>
      <c r="CP47" s="36"/>
      <c r="CQ47" s="7">
        <f t="shared" si="67"/>
        <v>0</v>
      </c>
      <c r="CR47" s="7">
        <f t="shared" si="68"/>
        <v>0</v>
      </c>
      <c r="CS47" s="7">
        <f t="shared" si="69"/>
        <v>0</v>
      </c>
      <c r="CT47" s="36">
        <v>3707.64</v>
      </c>
      <c r="CU47" s="36"/>
      <c r="CV47" s="7">
        <f t="shared" si="70"/>
        <v>3707.64</v>
      </c>
      <c r="CW47" s="36">
        <v>-3707.64</v>
      </c>
      <c r="CX47" s="36"/>
      <c r="CY47" s="7">
        <f t="shared" si="71"/>
        <v>-3707.64</v>
      </c>
      <c r="CZ47" s="36"/>
      <c r="DA47" s="36"/>
      <c r="DB47" s="7">
        <f t="shared" ref="DB47:DB55" si="79">CZ47+DA47</f>
        <v>0</v>
      </c>
      <c r="DC47" s="36"/>
      <c r="DD47" s="7">
        <f t="shared" si="72"/>
        <v>0</v>
      </c>
      <c r="DE47" s="36"/>
      <c r="DF47" s="7">
        <f t="shared" si="73"/>
        <v>0</v>
      </c>
      <c r="DG47" s="36"/>
      <c r="DH47" s="7">
        <f t="shared" si="74"/>
        <v>0</v>
      </c>
      <c r="DI47" s="36"/>
      <c r="DJ47" s="7">
        <f t="shared" si="75"/>
        <v>0</v>
      </c>
      <c r="DK47" s="36"/>
      <c r="DL47" s="7">
        <f t="shared" si="76"/>
        <v>0</v>
      </c>
      <c r="DM47" s="36"/>
      <c r="DN47" s="7">
        <f t="shared" si="77"/>
        <v>0</v>
      </c>
      <c r="DO47" s="36"/>
      <c r="DP47" s="14">
        <f t="shared" si="78"/>
        <v>0</v>
      </c>
      <c r="DQ47" s="14">
        <f t="shared" ref="DQ47:DQ55" si="80">CL47+CN47+CQ47+CV47+CY47+DB47</f>
        <v>0</v>
      </c>
      <c r="DR47" s="7"/>
      <c r="DS47" s="7">
        <f t="shared" ref="DS47:DS55" si="81">AG47-DP47</f>
        <v>500000</v>
      </c>
      <c r="DT47" s="7">
        <f t="shared" ref="DT47:DT55" si="82">AG47-DQ47</f>
        <v>500000</v>
      </c>
      <c r="DU47" s="15">
        <f t="shared" ref="DU47:DU64" si="83">DP47/AG47</f>
        <v>0</v>
      </c>
      <c r="DV47" s="15">
        <f t="shared" ref="DV47:DV64" si="84">DQ47/AG47</f>
        <v>0</v>
      </c>
      <c r="DW47" s="291"/>
      <c r="DX47" s="291"/>
      <c r="DY47" s="33"/>
      <c r="DZ47" s="36"/>
      <c r="EA47" s="109"/>
    </row>
    <row r="48" spans="1:131" s="1" customFormat="1" x14ac:dyDescent="0.25">
      <c r="A48" s="12" t="s">
        <v>564</v>
      </c>
      <c r="B48" s="24"/>
      <c r="C48" s="8" t="s">
        <v>227</v>
      </c>
      <c r="D48" s="24"/>
      <c r="E48" s="3">
        <v>255005</v>
      </c>
      <c r="F48" s="353">
        <v>6</v>
      </c>
      <c r="G48" s="353">
        <v>35</v>
      </c>
      <c r="H48" s="353">
        <v>1504</v>
      </c>
      <c r="I48" s="9" t="s">
        <v>13</v>
      </c>
      <c r="J48" s="10" t="s">
        <v>13</v>
      </c>
      <c r="K48" s="3"/>
      <c r="L48" s="3"/>
      <c r="M48" s="45"/>
      <c r="N48" s="3" t="s">
        <v>186</v>
      </c>
      <c r="O48" s="3" t="s">
        <v>189</v>
      </c>
      <c r="P48" s="11" t="s">
        <v>187</v>
      </c>
      <c r="Q48" s="11" t="s">
        <v>187</v>
      </c>
      <c r="R48" s="11" t="s">
        <v>193</v>
      </c>
      <c r="S48" s="11" t="s">
        <v>259</v>
      </c>
      <c r="T48" s="12" t="s">
        <v>110</v>
      </c>
      <c r="U48" s="12" t="s">
        <v>222</v>
      </c>
      <c r="V48" s="12"/>
      <c r="W48" s="12" t="s">
        <v>36</v>
      </c>
      <c r="X48" s="12" t="s">
        <v>13</v>
      </c>
      <c r="Y48" s="25" t="s">
        <v>69</v>
      </c>
      <c r="Z48" s="25">
        <v>2</v>
      </c>
      <c r="AA48" s="10" t="s">
        <v>706</v>
      </c>
      <c r="AB48" s="110" t="s">
        <v>703</v>
      </c>
      <c r="AC48" s="36"/>
      <c r="AD48" s="36"/>
      <c r="AE48" s="7"/>
      <c r="AF48" s="33"/>
      <c r="AG48" s="7"/>
      <c r="AH48" s="33"/>
      <c r="AI48" s="7"/>
      <c r="AJ48" s="409"/>
      <c r="AK48" s="27"/>
      <c r="AL48" s="36">
        <v>770420</v>
      </c>
      <c r="AM48" s="33">
        <f t="shared" si="28"/>
        <v>770420</v>
      </c>
      <c r="AN48" s="36"/>
      <c r="AO48" s="36"/>
      <c r="AP48" s="7">
        <f t="shared" si="29"/>
        <v>0</v>
      </c>
      <c r="AQ48" s="36"/>
      <c r="AR48" s="36"/>
      <c r="AS48" s="7">
        <f t="shared" si="30"/>
        <v>0</v>
      </c>
      <c r="AT48" s="36"/>
      <c r="AU48" s="36"/>
      <c r="AV48" s="7">
        <f t="shared" si="31"/>
        <v>0</v>
      </c>
      <c r="AW48" s="33">
        <v>21703</v>
      </c>
      <c r="AX48" s="33"/>
      <c r="AY48" s="7">
        <f t="shared" si="1"/>
        <v>21703</v>
      </c>
      <c r="AZ48" s="33"/>
      <c r="BA48" s="33"/>
      <c r="BB48" s="7"/>
      <c r="BC48" s="33"/>
      <c r="BD48" s="33"/>
      <c r="BE48" s="7"/>
      <c r="BF48" s="33"/>
      <c r="BG48" s="33"/>
      <c r="BH48" s="7"/>
      <c r="BI48" s="33"/>
      <c r="BJ48" s="33"/>
      <c r="BK48" s="7"/>
      <c r="BL48" s="33"/>
      <c r="BM48" s="33"/>
      <c r="BN48" s="7"/>
      <c r="BO48" s="33"/>
      <c r="BP48" s="33"/>
      <c r="BQ48" s="7"/>
      <c r="BR48" s="33"/>
      <c r="BS48" s="33"/>
      <c r="BT48" s="7"/>
      <c r="BU48" s="33"/>
      <c r="BV48" s="33"/>
      <c r="BW48" s="7"/>
      <c r="BX48" s="33"/>
      <c r="BY48" s="7">
        <f t="shared" si="18"/>
        <v>21703</v>
      </c>
      <c r="BZ48" s="7">
        <f t="shared" si="19"/>
        <v>21703</v>
      </c>
      <c r="CA48" s="33"/>
      <c r="CB48" s="7">
        <f t="shared" si="20"/>
        <v>748717</v>
      </c>
      <c r="CC48" s="7">
        <f t="shared" si="21"/>
        <v>748717</v>
      </c>
      <c r="CD48" s="15">
        <f t="shared" si="22"/>
        <v>2.8170348641001014E-2</v>
      </c>
      <c r="CE48" s="15">
        <f t="shared" si="23"/>
        <v>2.8170348641001014E-2</v>
      </c>
      <c r="CF48" s="451" t="s">
        <v>765</v>
      </c>
      <c r="CG48" s="36"/>
      <c r="CH48" s="33"/>
      <c r="CI48" s="33"/>
      <c r="CJ48" s="33"/>
      <c r="CK48" s="36"/>
      <c r="CL48" s="7"/>
      <c r="CM48" s="36"/>
      <c r="CN48" s="7"/>
      <c r="CO48" s="36"/>
      <c r="CP48" s="36"/>
      <c r="CQ48" s="7"/>
      <c r="CR48" s="7"/>
      <c r="CS48" s="7"/>
      <c r="CT48" s="36"/>
      <c r="CU48" s="36"/>
      <c r="CV48" s="7"/>
      <c r="CW48" s="36"/>
      <c r="CX48" s="36"/>
      <c r="CY48" s="7"/>
      <c r="CZ48" s="36"/>
      <c r="DA48" s="36"/>
      <c r="DB48" s="7"/>
      <c r="DC48" s="36"/>
      <c r="DD48" s="7"/>
      <c r="DE48" s="36"/>
      <c r="DF48" s="7"/>
      <c r="DG48" s="36"/>
      <c r="DH48" s="7"/>
      <c r="DI48" s="36"/>
      <c r="DJ48" s="7"/>
      <c r="DK48" s="36"/>
      <c r="DL48" s="7"/>
      <c r="DM48" s="36"/>
      <c r="DN48" s="7"/>
      <c r="DO48" s="36"/>
      <c r="DP48" s="14"/>
      <c r="DQ48" s="14"/>
      <c r="DR48" s="7"/>
      <c r="DS48" s="7"/>
      <c r="DT48" s="7"/>
      <c r="DU48" s="15"/>
      <c r="DV48" s="15"/>
      <c r="DW48" s="291"/>
      <c r="DX48" s="291"/>
      <c r="DY48" s="33"/>
      <c r="DZ48" s="36"/>
      <c r="EA48" s="109"/>
    </row>
    <row r="49" spans="1:131" s="1" customFormat="1" x14ac:dyDescent="0.25">
      <c r="A49" s="12" t="s">
        <v>564</v>
      </c>
      <c r="B49" s="24" t="s">
        <v>62</v>
      </c>
      <c r="C49" s="8" t="s">
        <v>227</v>
      </c>
      <c r="D49" s="24"/>
      <c r="E49" s="3">
        <v>255005</v>
      </c>
      <c r="F49" s="353">
        <v>4</v>
      </c>
      <c r="G49" s="353">
        <v>35</v>
      </c>
      <c r="H49" s="353">
        <v>1507</v>
      </c>
      <c r="I49" s="9" t="s">
        <v>13</v>
      </c>
      <c r="J49" s="10" t="s">
        <v>13</v>
      </c>
      <c r="K49" s="3">
        <v>4</v>
      </c>
      <c r="L49" s="3">
        <v>35</v>
      </c>
      <c r="M49" s="45"/>
      <c r="N49" s="3" t="s">
        <v>186</v>
      </c>
      <c r="O49" s="3" t="s">
        <v>189</v>
      </c>
      <c r="P49" s="11" t="s">
        <v>187</v>
      </c>
      <c r="Q49" s="11" t="s">
        <v>187</v>
      </c>
      <c r="R49" s="11" t="s">
        <v>193</v>
      </c>
      <c r="S49" s="3" t="s">
        <v>188</v>
      </c>
      <c r="T49" s="12" t="s">
        <v>110</v>
      </c>
      <c r="U49" s="12" t="s">
        <v>222</v>
      </c>
      <c r="V49" s="12"/>
      <c r="W49" s="12" t="s">
        <v>36</v>
      </c>
      <c r="X49" s="12" t="s">
        <v>13</v>
      </c>
      <c r="Y49" s="25" t="s">
        <v>69</v>
      </c>
      <c r="Z49" s="25">
        <v>2</v>
      </c>
      <c r="AA49" s="10" t="s">
        <v>536</v>
      </c>
      <c r="AB49" s="110" t="s">
        <v>38</v>
      </c>
      <c r="AC49" s="36">
        <v>500000</v>
      </c>
      <c r="AD49" s="36"/>
      <c r="AE49" s="7">
        <f t="shared" si="64"/>
        <v>500000</v>
      </c>
      <c r="AF49" s="33"/>
      <c r="AG49" s="7">
        <f t="shared" si="24"/>
        <v>500000</v>
      </c>
      <c r="AH49" s="33"/>
      <c r="AI49" s="7">
        <f t="shared" si="25"/>
        <v>500000</v>
      </c>
      <c r="AJ49" s="409"/>
      <c r="AK49" s="27">
        <v>700000</v>
      </c>
      <c r="AL49" s="36"/>
      <c r="AM49" s="33">
        <f t="shared" si="28"/>
        <v>700000</v>
      </c>
      <c r="AN49" s="36">
        <v>0</v>
      </c>
      <c r="AO49" s="36">
        <v>0</v>
      </c>
      <c r="AP49" s="7">
        <f t="shared" si="29"/>
        <v>0</v>
      </c>
      <c r="AQ49" s="36"/>
      <c r="AR49" s="36"/>
      <c r="AS49" s="7">
        <f t="shared" si="30"/>
        <v>0</v>
      </c>
      <c r="AT49" s="36"/>
      <c r="AU49" s="36"/>
      <c r="AV49" s="7">
        <f t="shared" si="31"/>
        <v>0</v>
      </c>
      <c r="AW49" s="33"/>
      <c r="AX49" s="33"/>
      <c r="AY49" s="7">
        <f t="shared" si="1"/>
        <v>0</v>
      </c>
      <c r="AZ49" s="33"/>
      <c r="BA49" s="33"/>
      <c r="BB49" s="7">
        <f t="shared" si="32"/>
        <v>0</v>
      </c>
      <c r="BC49" s="33"/>
      <c r="BD49" s="33"/>
      <c r="BE49" s="7">
        <f t="shared" si="33"/>
        <v>0</v>
      </c>
      <c r="BF49" s="33"/>
      <c r="BG49" s="33"/>
      <c r="BH49" s="7">
        <f t="shared" si="34"/>
        <v>0</v>
      </c>
      <c r="BI49" s="33"/>
      <c r="BJ49" s="33"/>
      <c r="BK49" s="7">
        <f t="shared" si="35"/>
        <v>0</v>
      </c>
      <c r="BL49" s="33"/>
      <c r="BM49" s="33"/>
      <c r="BN49" s="7">
        <f t="shared" si="36"/>
        <v>0</v>
      </c>
      <c r="BO49" s="33"/>
      <c r="BP49" s="33"/>
      <c r="BQ49" s="7">
        <f t="shared" si="37"/>
        <v>0</v>
      </c>
      <c r="BR49" s="33"/>
      <c r="BS49" s="33"/>
      <c r="BT49" s="7">
        <f t="shared" si="38"/>
        <v>0</v>
      </c>
      <c r="BU49" s="33"/>
      <c r="BV49" s="33"/>
      <c r="BW49" s="7">
        <f t="shared" si="39"/>
        <v>0</v>
      </c>
      <c r="BX49" s="33"/>
      <c r="BY49" s="7">
        <f t="shared" si="18"/>
        <v>0</v>
      </c>
      <c r="BZ49" s="7">
        <f t="shared" si="19"/>
        <v>0</v>
      </c>
      <c r="CA49" s="33"/>
      <c r="CB49" s="7">
        <f t="shared" si="20"/>
        <v>700000</v>
      </c>
      <c r="CC49" s="7">
        <f t="shared" si="21"/>
        <v>700000</v>
      </c>
      <c r="CD49" s="15">
        <f t="shared" si="22"/>
        <v>0</v>
      </c>
      <c r="CE49" s="15">
        <f t="shared" si="23"/>
        <v>0</v>
      </c>
      <c r="CF49" s="451" t="s">
        <v>765</v>
      </c>
      <c r="CG49" s="36">
        <v>1300000</v>
      </c>
      <c r="CH49" s="33">
        <v>2000000</v>
      </c>
      <c r="CI49" s="33">
        <v>10000000</v>
      </c>
      <c r="CJ49" s="33"/>
      <c r="CK49" s="36"/>
      <c r="CL49" s="7">
        <f t="shared" si="65"/>
        <v>0</v>
      </c>
      <c r="CM49" s="36"/>
      <c r="CN49" s="7">
        <f t="shared" si="66"/>
        <v>0</v>
      </c>
      <c r="CO49" s="36"/>
      <c r="CP49" s="36"/>
      <c r="CQ49" s="7">
        <f t="shared" si="67"/>
        <v>0</v>
      </c>
      <c r="CR49" s="7">
        <f t="shared" si="68"/>
        <v>0</v>
      </c>
      <c r="CS49" s="7">
        <f t="shared" si="69"/>
        <v>0</v>
      </c>
      <c r="CT49" s="36"/>
      <c r="CU49" s="36"/>
      <c r="CV49" s="7">
        <f t="shared" si="70"/>
        <v>0</v>
      </c>
      <c r="CW49" s="36"/>
      <c r="CX49" s="36"/>
      <c r="CY49" s="7">
        <f t="shared" si="71"/>
        <v>0</v>
      </c>
      <c r="CZ49" s="36"/>
      <c r="DA49" s="36"/>
      <c r="DB49" s="7">
        <f t="shared" si="79"/>
        <v>0</v>
      </c>
      <c r="DC49" s="36"/>
      <c r="DD49" s="7">
        <f t="shared" si="72"/>
        <v>0</v>
      </c>
      <c r="DE49" s="36"/>
      <c r="DF49" s="7">
        <f t="shared" si="73"/>
        <v>0</v>
      </c>
      <c r="DG49" s="36"/>
      <c r="DH49" s="7">
        <f t="shared" si="74"/>
        <v>0</v>
      </c>
      <c r="DI49" s="36"/>
      <c r="DJ49" s="7">
        <f t="shared" si="75"/>
        <v>0</v>
      </c>
      <c r="DK49" s="36"/>
      <c r="DL49" s="7">
        <f t="shared" si="76"/>
        <v>0</v>
      </c>
      <c r="DM49" s="36"/>
      <c r="DN49" s="7">
        <f t="shared" si="77"/>
        <v>0</v>
      </c>
      <c r="DO49" s="36"/>
      <c r="DP49" s="14">
        <f t="shared" si="78"/>
        <v>0</v>
      </c>
      <c r="DQ49" s="14">
        <f t="shared" si="80"/>
        <v>0</v>
      </c>
      <c r="DR49" s="7"/>
      <c r="DS49" s="7">
        <f t="shared" si="81"/>
        <v>500000</v>
      </c>
      <c r="DT49" s="7">
        <f t="shared" si="82"/>
        <v>500000</v>
      </c>
      <c r="DU49" s="15">
        <f t="shared" si="83"/>
        <v>0</v>
      </c>
      <c r="DV49" s="15">
        <f t="shared" si="84"/>
        <v>0</v>
      </c>
      <c r="DW49" s="291"/>
      <c r="DX49" s="291"/>
      <c r="DY49" s="33"/>
      <c r="DZ49" s="36"/>
      <c r="EA49" s="109"/>
    </row>
    <row r="50" spans="1:131" s="1" customFormat="1" x14ac:dyDescent="0.25">
      <c r="A50" s="12" t="s">
        <v>564</v>
      </c>
      <c r="B50" s="24"/>
      <c r="C50" s="8" t="s">
        <v>227</v>
      </c>
      <c r="D50" s="24"/>
      <c r="E50" s="3">
        <v>255005</v>
      </c>
      <c r="F50" s="353">
        <v>6</v>
      </c>
      <c r="G50" s="353">
        <v>35</v>
      </c>
      <c r="H50" s="353">
        <v>1505</v>
      </c>
      <c r="I50" s="9" t="s">
        <v>13</v>
      </c>
      <c r="J50" s="10" t="s">
        <v>13</v>
      </c>
      <c r="K50" s="3"/>
      <c r="L50" s="3"/>
      <c r="M50" s="45"/>
      <c r="N50" s="3" t="s">
        <v>186</v>
      </c>
      <c r="O50" s="3" t="s">
        <v>189</v>
      </c>
      <c r="P50" s="11" t="s">
        <v>187</v>
      </c>
      <c r="Q50" s="11" t="s">
        <v>187</v>
      </c>
      <c r="R50" s="11" t="s">
        <v>193</v>
      </c>
      <c r="S50" s="11" t="s">
        <v>259</v>
      </c>
      <c r="T50" s="12" t="s">
        <v>110</v>
      </c>
      <c r="U50" s="12" t="s">
        <v>222</v>
      </c>
      <c r="V50" s="12"/>
      <c r="W50" s="12" t="s">
        <v>36</v>
      </c>
      <c r="X50" s="12" t="s">
        <v>13</v>
      </c>
      <c r="Y50" s="25" t="s">
        <v>69</v>
      </c>
      <c r="Z50" s="25">
        <v>2</v>
      </c>
      <c r="AA50" s="10" t="s">
        <v>707</v>
      </c>
      <c r="AB50" s="110" t="s">
        <v>703</v>
      </c>
      <c r="AC50" s="36"/>
      <c r="AD50" s="36"/>
      <c r="AE50" s="7"/>
      <c r="AF50" s="33"/>
      <c r="AG50" s="7"/>
      <c r="AH50" s="33"/>
      <c r="AI50" s="7"/>
      <c r="AJ50" s="409"/>
      <c r="AK50" s="27"/>
      <c r="AL50" s="36">
        <v>600000</v>
      </c>
      <c r="AM50" s="33">
        <f t="shared" si="28"/>
        <v>600000</v>
      </c>
      <c r="AN50" s="36"/>
      <c r="AO50" s="36"/>
      <c r="AP50" s="7">
        <f t="shared" si="29"/>
        <v>0</v>
      </c>
      <c r="AQ50" s="36"/>
      <c r="AR50" s="36"/>
      <c r="AS50" s="7">
        <f t="shared" si="30"/>
        <v>0</v>
      </c>
      <c r="AT50" s="36"/>
      <c r="AU50" s="36"/>
      <c r="AV50" s="7">
        <f t="shared" si="31"/>
        <v>0</v>
      </c>
      <c r="AW50" s="33">
        <v>45990.01</v>
      </c>
      <c r="AX50" s="33"/>
      <c r="AY50" s="7">
        <f t="shared" si="1"/>
        <v>45990.01</v>
      </c>
      <c r="AZ50" s="33"/>
      <c r="BA50" s="33"/>
      <c r="BB50" s="7"/>
      <c r="BC50" s="33"/>
      <c r="BD50" s="33"/>
      <c r="BE50" s="7"/>
      <c r="BF50" s="33"/>
      <c r="BG50" s="33"/>
      <c r="BH50" s="7"/>
      <c r="BI50" s="33"/>
      <c r="BJ50" s="33"/>
      <c r="BK50" s="7"/>
      <c r="BL50" s="33"/>
      <c r="BM50" s="33"/>
      <c r="BN50" s="7"/>
      <c r="BO50" s="33"/>
      <c r="BP50" s="33"/>
      <c r="BQ50" s="7"/>
      <c r="BR50" s="33"/>
      <c r="BS50" s="33"/>
      <c r="BT50" s="7"/>
      <c r="BU50" s="33"/>
      <c r="BV50" s="33"/>
      <c r="BW50" s="7"/>
      <c r="BX50" s="33"/>
      <c r="BY50" s="7">
        <f t="shared" si="18"/>
        <v>45990.01</v>
      </c>
      <c r="BZ50" s="7">
        <f t="shared" si="19"/>
        <v>45990.01</v>
      </c>
      <c r="CA50" s="33"/>
      <c r="CB50" s="7">
        <f t="shared" si="20"/>
        <v>554009.99</v>
      </c>
      <c r="CC50" s="7">
        <f t="shared" si="21"/>
        <v>554009.99</v>
      </c>
      <c r="CD50" s="15">
        <f t="shared" si="22"/>
        <v>7.6650016666666668E-2</v>
      </c>
      <c r="CE50" s="15">
        <f t="shared" si="23"/>
        <v>7.6650016666666668E-2</v>
      </c>
      <c r="CF50" s="451" t="s">
        <v>765</v>
      </c>
      <c r="CG50" s="36"/>
      <c r="CH50" s="33"/>
      <c r="CI50" s="33"/>
      <c r="CJ50" s="33"/>
      <c r="CK50" s="36"/>
      <c r="CL50" s="7"/>
      <c r="CM50" s="36"/>
      <c r="CN50" s="7"/>
      <c r="CO50" s="36"/>
      <c r="CP50" s="36"/>
      <c r="CQ50" s="7"/>
      <c r="CR50" s="7"/>
      <c r="CS50" s="7"/>
      <c r="CT50" s="36"/>
      <c r="CU50" s="36"/>
      <c r="CV50" s="7"/>
      <c r="CW50" s="36"/>
      <c r="CX50" s="36"/>
      <c r="CY50" s="7"/>
      <c r="CZ50" s="36"/>
      <c r="DA50" s="36"/>
      <c r="DB50" s="7"/>
      <c r="DC50" s="36"/>
      <c r="DD50" s="7"/>
      <c r="DE50" s="36"/>
      <c r="DF50" s="7"/>
      <c r="DG50" s="36"/>
      <c r="DH50" s="7"/>
      <c r="DI50" s="36"/>
      <c r="DJ50" s="7"/>
      <c r="DK50" s="36"/>
      <c r="DL50" s="7"/>
      <c r="DM50" s="36"/>
      <c r="DN50" s="7"/>
      <c r="DO50" s="36"/>
      <c r="DP50" s="14"/>
      <c r="DQ50" s="14"/>
      <c r="DR50" s="7"/>
      <c r="DS50" s="7"/>
      <c r="DT50" s="7"/>
      <c r="DU50" s="15"/>
      <c r="DV50" s="15"/>
      <c r="DW50" s="291"/>
      <c r="DX50" s="291"/>
      <c r="DY50" s="33"/>
      <c r="DZ50" s="36"/>
      <c r="EA50" s="109"/>
    </row>
    <row r="51" spans="1:131" s="1" customFormat="1" x14ac:dyDescent="0.25">
      <c r="A51" s="12" t="s">
        <v>564</v>
      </c>
      <c r="B51" s="24" t="s">
        <v>62</v>
      </c>
      <c r="C51" s="8" t="s">
        <v>227</v>
      </c>
      <c r="D51" s="24" t="s">
        <v>13</v>
      </c>
      <c r="E51" s="3">
        <v>255005</v>
      </c>
      <c r="F51" s="353">
        <v>4</v>
      </c>
      <c r="G51" s="353">
        <v>36</v>
      </c>
      <c r="H51" s="353">
        <v>1509</v>
      </c>
      <c r="I51" s="9" t="s">
        <v>13</v>
      </c>
      <c r="J51" s="10" t="s">
        <v>13</v>
      </c>
      <c r="K51" s="3">
        <v>4</v>
      </c>
      <c r="L51" s="3">
        <v>36</v>
      </c>
      <c r="M51" s="45"/>
      <c r="N51" s="3" t="s">
        <v>186</v>
      </c>
      <c r="O51" s="3" t="s">
        <v>189</v>
      </c>
      <c r="P51" s="11" t="s">
        <v>187</v>
      </c>
      <c r="Q51" s="11" t="s">
        <v>187</v>
      </c>
      <c r="R51" s="11" t="s">
        <v>193</v>
      </c>
      <c r="S51" s="3" t="s">
        <v>188</v>
      </c>
      <c r="T51" s="12" t="s">
        <v>110</v>
      </c>
      <c r="U51" s="12" t="s">
        <v>222</v>
      </c>
      <c r="V51" s="12"/>
      <c r="W51" s="12" t="s">
        <v>36</v>
      </c>
      <c r="X51" s="12" t="s">
        <v>13</v>
      </c>
      <c r="Y51" s="25" t="s">
        <v>69</v>
      </c>
      <c r="Z51" s="347">
        <v>23</v>
      </c>
      <c r="AA51" s="9" t="s">
        <v>537</v>
      </c>
      <c r="AB51" s="110" t="s">
        <v>37</v>
      </c>
      <c r="AC51" s="33">
        <v>3000000</v>
      </c>
      <c r="AD51" s="33"/>
      <c r="AE51" s="7">
        <f t="shared" ref="AE51:AE58" si="85">AC51+AD51</f>
        <v>3000000</v>
      </c>
      <c r="AF51" s="33"/>
      <c r="AG51" s="7">
        <f t="shared" si="24"/>
        <v>3000000</v>
      </c>
      <c r="AH51" s="33">
        <v>-1000000</v>
      </c>
      <c r="AI51" s="7">
        <f t="shared" si="25"/>
        <v>2000000</v>
      </c>
      <c r="AJ51" s="409"/>
      <c r="AK51" s="7">
        <v>10000000</v>
      </c>
      <c r="AL51" s="33"/>
      <c r="AM51" s="33">
        <f t="shared" si="28"/>
        <v>10000000</v>
      </c>
      <c r="AN51" s="33">
        <v>0</v>
      </c>
      <c r="AO51" s="33">
        <v>0</v>
      </c>
      <c r="AP51" s="7">
        <f t="shared" si="29"/>
        <v>0</v>
      </c>
      <c r="AQ51" s="33"/>
      <c r="AR51" s="33"/>
      <c r="AS51" s="7">
        <f t="shared" si="30"/>
        <v>0</v>
      </c>
      <c r="AT51" s="33"/>
      <c r="AU51" s="33"/>
      <c r="AV51" s="7">
        <f t="shared" si="31"/>
        <v>0</v>
      </c>
      <c r="AW51" s="33"/>
      <c r="AX51" s="33"/>
      <c r="AY51" s="7">
        <f t="shared" si="1"/>
        <v>0</v>
      </c>
      <c r="AZ51" s="33"/>
      <c r="BA51" s="33"/>
      <c r="BB51" s="7">
        <f t="shared" si="32"/>
        <v>0</v>
      </c>
      <c r="BC51" s="33"/>
      <c r="BD51" s="33"/>
      <c r="BE51" s="7">
        <f t="shared" si="33"/>
        <v>0</v>
      </c>
      <c r="BF51" s="33"/>
      <c r="BG51" s="33"/>
      <c r="BH51" s="7">
        <f t="shared" si="34"/>
        <v>0</v>
      </c>
      <c r="BI51" s="33"/>
      <c r="BJ51" s="33"/>
      <c r="BK51" s="7">
        <f t="shared" si="35"/>
        <v>0</v>
      </c>
      <c r="BL51" s="33"/>
      <c r="BM51" s="33"/>
      <c r="BN51" s="7">
        <f t="shared" si="36"/>
        <v>0</v>
      </c>
      <c r="BO51" s="33"/>
      <c r="BP51" s="33"/>
      <c r="BQ51" s="7">
        <f t="shared" si="37"/>
        <v>0</v>
      </c>
      <c r="BR51" s="33"/>
      <c r="BS51" s="33"/>
      <c r="BT51" s="7">
        <f t="shared" si="38"/>
        <v>0</v>
      </c>
      <c r="BU51" s="33"/>
      <c r="BV51" s="33"/>
      <c r="BW51" s="7">
        <f t="shared" si="39"/>
        <v>0</v>
      </c>
      <c r="BX51" s="33"/>
      <c r="BY51" s="7">
        <f t="shared" si="18"/>
        <v>0</v>
      </c>
      <c r="BZ51" s="7">
        <f t="shared" si="19"/>
        <v>0</v>
      </c>
      <c r="CA51" s="33"/>
      <c r="CB51" s="7">
        <f t="shared" si="20"/>
        <v>10000000</v>
      </c>
      <c r="CC51" s="7">
        <f t="shared" si="21"/>
        <v>10000000</v>
      </c>
      <c r="CD51" s="15">
        <f t="shared" si="22"/>
        <v>0</v>
      </c>
      <c r="CE51" s="15">
        <f t="shared" si="23"/>
        <v>0</v>
      </c>
      <c r="CF51" s="451" t="s">
        <v>816</v>
      </c>
      <c r="CG51" s="33">
        <f>13500000-5000000</f>
        <v>8500000</v>
      </c>
      <c r="CH51" s="33">
        <f>13500000+5000000</f>
        <v>18500000</v>
      </c>
      <c r="CI51" s="33"/>
      <c r="CJ51" s="33"/>
      <c r="CK51" s="33"/>
      <c r="CL51" s="7">
        <f>CK51</f>
        <v>0</v>
      </c>
      <c r="CM51" s="33"/>
      <c r="CN51" s="7">
        <f>CM51</f>
        <v>0</v>
      </c>
      <c r="CO51" s="33"/>
      <c r="CP51" s="33">
        <v>0</v>
      </c>
      <c r="CQ51" s="7">
        <f>CO51+CP51</f>
        <v>0</v>
      </c>
      <c r="CR51" s="7">
        <f>CK51+CM51+CO51</f>
        <v>0</v>
      </c>
      <c r="CS51" s="7">
        <f>CL51+CN51+CQ51</f>
        <v>0</v>
      </c>
      <c r="CT51" s="33"/>
      <c r="CU51" s="33"/>
      <c r="CV51" s="7">
        <f>CT51+CU51</f>
        <v>0</v>
      </c>
      <c r="CW51" s="33"/>
      <c r="CX51" s="33">
        <v>382.04</v>
      </c>
      <c r="CY51" s="7">
        <f>CW51+CX51</f>
        <v>382.04</v>
      </c>
      <c r="CZ51" s="33"/>
      <c r="DA51" s="33"/>
      <c r="DB51" s="7">
        <f t="shared" si="79"/>
        <v>0</v>
      </c>
      <c r="DC51" s="33"/>
      <c r="DD51" s="7">
        <f>DC51</f>
        <v>0</v>
      </c>
      <c r="DE51" s="33"/>
      <c r="DF51" s="7">
        <f>DE51</f>
        <v>0</v>
      </c>
      <c r="DG51" s="33"/>
      <c r="DH51" s="7">
        <f>DG51</f>
        <v>0</v>
      </c>
      <c r="DI51" s="33"/>
      <c r="DJ51" s="7">
        <f>DI51</f>
        <v>0</v>
      </c>
      <c r="DK51" s="33"/>
      <c r="DL51" s="7">
        <f>DK51</f>
        <v>0</v>
      </c>
      <c r="DM51" s="33"/>
      <c r="DN51" s="7">
        <f>DM51</f>
        <v>0</v>
      </c>
      <c r="DO51" s="33"/>
      <c r="DP51" s="14">
        <f>CK51+CM51+CO51+CT51+CW51+CZ51+DC51+DE51+DG51+DI51+DK51+DM51</f>
        <v>0</v>
      </c>
      <c r="DQ51" s="14">
        <f t="shared" si="80"/>
        <v>382.04</v>
      </c>
      <c r="DR51" s="7"/>
      <c r="DS51" s="7">
        <f t="shared" si="81"/>
        <v>3000000</v>
      </c>
      <c r="DT51" s="7">
        <f t="shared" si="82"/>
        <v>2999617.96</v>
      </c>
      <c r="DU51" s="15">
        <f t="shared" si="83"/>
        <v>0</v>
      </c>
      <c r="DV51" s="15">
        <f t="shared" si="84"/>
        <v>1.2734666666666666E-4</v>
      </c>
      <c r="DW51" s="33">
        <v>16500000</v>
      </c>
      <c r="DX51" s="33"/>
      <c r="DY51" s="33"/>
      <c r="DZ51" s="36"/>
      <c r="EA51" s="109"/>
    </row>
    <row r="52" spans="1:131" s="1" customFormat="1" x14ac:dyDescent="0.25">
      <c r="A52" s="12" t="s">
        <v>564</v>
      </c>
      <c r="B52" s="24" t="s">
        <v>62</v>
      </c>
      <c r="C52" s="8" t="s">
        <v>227</v>
      </c>
      <c r="D52" s="24" t="s">
        <v>13</v>
      </c>
      <c r="E52" s="3">
        <v>255005</v>
      </c>
      <c r="F52" s="353">
        <v>4</v>
      </c>
      <c r="G52" s="353">
        <v>36</v>
      </c>
      <c r="H52" s="353">
        <v>1510</v>
      </c>
      <c r="I52" s="9" t="s">
        <v>13</v>
      </c>
      <c r="J52" s="10" t="s">
        <v>13</v>
      </c>
      <c r="K52" s="3">
        <v>4</v>
      </c>
      <c r="L52" s="3">
        <v>36</v>
      </c>
      <c r="M52" s="45"/>
      <c r="N52" s="3" t="s">
        <v>186</v>
      </c>
      <c r="O52" s="3" t="s">
        <v>189</v>
      </c>
      <c r="P52" s="11" t="s">
        <v>187</v>
      </c>
      <c r="Q52" s="11" t="s">
        <v>187</v>
      </c>
      <c r="R52" s="11" t="s">
        <v>193</v>
      </c>
      <c r="S52" s="3" t="s">
        <v>188</v>
      </c>
      <c r="T52" s="12" t="s">
        <v>110</v>
      </c>
      <c r="U52" s="12" t="s">
        <v>222</v>
      </c>
      <c r="V52" s="12"/>
      <c r="W52" s="12" t="s">
        <v>36</v>
      </c>
      <c r="X52" s="12" t="s">
        <v>13</v>
      </c>
      <c r="Y52" s="25" t="s">
        <v>69</v>
      </c>
      <c r="Z52" s="25">
        <v>1</v>
      </c>
      <c r="AA52" s="10" t="s">
        <v>538</v>
      </c>
      <c r="AB52" s="110" t="s">
        <v>37</v>
      </c>
      <c r="AC52" s="33">
        <v>500000</v>
      </c>
      <c r="AD52" s="33"/>
      <c r="AE52" s="7">
        <f t="shared" si="85"/>
        <v>500000</v>
      </c>
      <c r="AF52" s="33">
        <v>1831500</v>
      </c>
      <c r="AG52" s="7">
        <f t="shared" si="24"/>
        <v>2331500</v>
      </c>
      <c r="AH52" s="33"/>
      <c r="AI52" s="7">
        <f t="shared" si="25"/>
        <v>2331500</v>
      </c>
      <c r="AJ52" s="409"/>
      <c r="AK52" s="7">
        <v>1000000</v>
      </c>
      <c r="AL52" s="33"/>
      <c r="AM52" s="33">
        <f t="shared" si="28"/>
        <v>1000000</v>
      </c>
      <c r="AN52" s="33">
        <v>0</v>
      </c>
      <c r="AO52" s="33">
        <v>0</v>
      </c>
      <c r="AP52" s="7">
        <f t="shared" si="29"/>
        <v>0</v>
      </c>
      <c r="AQ52" s="33"/>
      <c r="AR52" s="33"/>
      <c r="AS52" s="7">
        <f t="shared" si="30"/>
        <v>0</v>
      </c>
      <c r="AT52" s="33"/>
      <c r="AU52" s="33"/>
      <c r="AV52" s="7">
        <f t="shared" si="31"/>
        <v>0</v>
      </c>
      <c r="AW52" s="33"/>
      <c r="AX52" s="33"/>
      <c r="AY52" s="7">
        <f t="shared" si="1"/>
        <v>0</v>
      </c>
      <c r="AZ52" s="33"/>
      <c r="BA52" s="33"/>
      <c r="BB52" s="7">
        <f t="shared" si="32"/>
        <v>0</v>
      </c>
      <c r="BC52" s="33"/>
      <c r="BD52" s="33"/>
      <c r="BE52" s="7">
        <f t="shared" si="33"/>
        <v>0</v>
      </c>
      <c r="BF52" s="33"/>
      <c r="BG52" s="33"/>
      <c r="BH52" s="7">
        <f t="shared" si="34"/>
        <v>0</v>
      </c>
      <c r="BI52" s="33"/>
      <c r="BJ52" s="33"/>
      <c r="BK52" s="7">
        <f t="shared" si="35"/>
        <v>0</v>
      </c>
      <c r="BL52" s="33"/>
      <c r="BM52" s="33"/>
      <c r="BN52" s="7">
        <f t="shared" si="36"/>
        <v>0</v>
      </c>
      <c r="BO52" s="33"/>
      <c r="BP52" s="33"/>
      <c r="BQ52" s="7">
        <f t="shared" si="37"/>
        <v>0</v>
      </c>
      <c r="BR52" s="33"/>
      <c r="BS52" s="33"/>
      <c r="BT52" s="7">
        <f t="shared" si="38"/>
        <v>0</v>
      </c>
      <c r="BU52" s="33"/>
      <c r="BV52" s="33"/>
      <c r="BW52" s="7">
        <f t="shared" si="39"/>
        <v>0</v>
      </c>
      <c r="BX52" s="33"/>
      <c r="BY52" s="7">
        <f t="shared" si="18"/>
        <v>0</v>
      </c>
      <c r="BZ52" s="7">
        <f t="shared" si="19"/>
        <v>0</v>
      </c>
      <c r="CA52" s="33"/>
      <c r="CB52" s="7">
        <f t="shared" si="20"/>
        <v>1000000</v>
      </c>
      <c r="CC52" s="7">
        <f t="shared" si="21"/>
        <v>1000000</v>
      </c>
      <c r="CD52" s="15">
        <f t="shared" si="22"/>
        <v>0</v>
      </c>
      <c r="CE52" s="15">
        <f t="shared" si="23"/>
        <v>0</v>
      </c>
      <c r="CF52" s="451" t="s">
        <v>817</v>
      </c>
      <c r="CG52" s="33">
        <v>0</v>
      </c>
      <c r="CH52" s="33">
        <v>0</v>
      </c>
      <c r="CI52" s="33"/>
      <c r="CJ52" s="33"/>
      <c r="CK52" s="33"/>
      <c r="CL52" s="7">
        <f>CK52</f>
        <v>0</v>
      </c>
      <c r="CM52" s="33"/>
      <c r="CN52" s="7">
        <f>CM52</f>
        <v>0</v>
      </c>
      <c r="CO52" s="33"/>
      <c r="CP52" s="33">
        <v>0</v>
      </c>
      <c r="CQ52" s="7">
        <f>CO52+CP52</f>
        <v>0</v>
      </c>
      <c r="CR52" s="7">
        <f>CK52+CM52+CO52</f>
        <v>0</v>
      </c>
      <c r="CS52" s="7">
        <f>CL52+CN52+CQ52</f>
        <v>0</v>
      </c>
      <c r="CT52" s="33"/>
      <c r="CU52" s="33"/>
      <c r="CV52" s="7">
        <f>CT52+CU52</f>
        <v>0</v>
      </c>
      <c r="CW52" s="33"/>
      <c r="CX52" s="33">
        <v>295.58</v>
      </c>
      <c r="CY52" s="7">
        <f>CW52+CX52</f>
        <v>295.58</v>
      </c>
      <c r="CZ52" s="33"/>
      <c r="DA52" s="33"/>
      <c r="DB52" s="7">
        <f t="shared" si="79"/>
        <v>0</v>
      </c>
      <c r="DC52" s="33"/>
      <c r="DD52" s="7">
        <f>DC52</f>
        <v>0</v>
      </c>
      <c r="DE52" s="33"/>
      <c r="DF52" s="7">
        <f>DE52</f>
        <v>0</v>
      </c>
      <c r="DG52" s="33"/>
      <c r="DH52" s="7">
        <f>DG52</f>
        <v>0</v>
      </c>
      <c r="DI52" s="33"/>
      <c r="DJ52" s="7">
        <f>DI52</f>
        <v>0</v>
      </c>
      <c r="DK52" s="33"/>
      <c r="DL52" s="7">
        <f>DK52</f>
        <v>0</v>
      </c>
      <c r="DM52" s="33"/>
      <c r="DN52" s="7">
        <f>DM52</f>
        <v>0</v>
      </c>
      <c r="DO52" s="33">
        <v>175180.32</v>
      </c>
      <c r="DP52" s="14">
        <f>CK52+CM52+CO52+CT52+CW52+CZ52+DC52+DE52+DG52+DI52+DK52+DM52</f>
        <v>0</v>
      </c>
      <c r="DQ52" s="14">
        <f t="shared" si="80"/>
        <v>295.58</v>
      </c>
      <c r="DR52" s="7"/>
      <c r="DS52" s="7">
        <f t="shared" si="81"/>
        <v>2331500</v>
      </c>
      <c r="DT52" s="7">
        <f t="shared" si="82"/>
        <v>2331204.42</v>
      </c>
      <c r="DU52" s="15">
        <f t="shared" si="83"/>
        <v>0</v>
      </c>
      <c r="DV52" s="15">
        <f t="shared" si="84"/>
        <v>1.2677675316319966E-4</v>
      </c>
      <c r="DW52" s="33"/>
      <c r="DX52" s="33"/>
      <c r="DY52" s="33"/>
      <c r="DZ52" s="36"/>
      <c r="EA52" s="109"/>
    </row>
    <row r="53" spans="1:131" s="1" customFormat="1" x14ac:dyDescent="0.25">
      <c r="A53" s="12" t="s">
        <v>564</v>
      </c>
      <c r="B53" s="24"/>
      <c r="C53" s="8" t="s">
        <v>227</v>
      </c>
      <c r="D53" s="24"/>
      <c r="E53" s="3">
        <v>255005</v>
      </c>
      <c r="F53" s="353">
        <v>6</v>
      </c>
      <c r="G53" s="353">
        <v>35</v>
      </c>
      <c r="H53" s="353">
        <v>1508</v>
      </c>
      <c r="I53" s="9" t="s">
        <v>13</v>
      </c>
      <c r="J53" s="10" t="s">
        <v>13</v>
      </c>
      <c r="K53" s="3"/>
      <c r="L53" s="3"/>
      <c r="M53" s="45"/>
      <c r="N53" s="3" t="s">
        <v>186</v>
      </c>
      <c r="O53" s="3" t="s">
        <v>189</v>
      </c>
      <c r="P53" s="11" t="s">
        <v>187</v>
      </c>
      <c r="Q53" s="11" t="s">
        <v>187</v>
      </c>
      <c r="R53" s="11" t="s">
        <v>193</v>
      </c>
      <c r="S53" s="11" t="s">
        <v>259</v>
      </c>
      <c r="T53" s="12" t="s">
        <v>110</v>
      </c>
      <c r="U53" s="12" t="s">
        <v>222</v>
      </c>
      <c r="V53" s="12"/>
      <c r="W53" s="12" t="s">
        <v>36</v>
      </c>
      <c r="X53" s="12" t="s">
        <v>13</v>
      </c>
      <c r="Y53" s="25" t="s">
        <v>69</v>
      </c>
      <c r="Z53" s="25">
        <v>1</v>
      </c>
      <c r="AA53" s="10" t="s">
        <v>538</v>
      </c>
      <c r="AB53" s="110" t="s">
        <v>703</v>
      </c>
      <c r="AC53" s="33"/>
      <c r="AD53" s="33"/>
      <c r="AE53" s="7"/>
      <c r="AF53" s="33"/>
      <c r="AG53" s="7"/>
      <c r="AH53" s="33"/>
      <c r="AI53" s="7"/>
      <c r="AJ53" s="409"/>
      <c r="AK53" s="7"/>
      <c r="AL53" s="33">
        <v>608785</v>
      </c>
      <c r="AM53" s="33">
        <f t="shared" si="28"/>
        <v>608785</v>
      </c>
      <c r="AN53" s="33"/>
      <c r="AO53" s="33"/>
      <c r="AP53" s="7">
        <f t="shared" si="29"/>
        <v>0</v>
      </c>
      <c r="AQ53" s="33"/>
      <c r="AR53" s="33"/>
      <c r="AS53" s="7">
        <f t="shared" si="30"/>
        <v>0</v>
      </c>
      <c r="AT53" s="33"/>
      <c r="AU53" s="33"/>
      <c r="AV53" s="7">
        <f t="shared" si="31"/>
        <v>0</v>
      </c>
      <c r="AW53" s="33">
        <v>307405.78999999998</v>
      </c>
      <c r="AX53" s="33"/>
      <c r="AY53" s="7">
        <f t="shared" si="1"/>
        <v>307405.78999999998</v>
      </c>
      <c r="AZ53" s="33"/>
      <c r="BA53" s="33"/>
      <c r="BB53" s="7"/>
      <c r="BC53" s="33"/>
      <c r="BD53" s="33"/>
      <c r="BE53" s="7"/>
      <c r="BF53" s="33"/>
      <c r="BG53" s="33"/>
      <c r="BH53" s="7"/>
      <c r="BI53" s="33"/>
      <c r="BJ53" s="33"/>
      <c r="BK53" s="7"/>
      <c r="BL53" s="33"/>
      <c r="BM53" s="33"/>
      <c r="BN53" s="7"/>
      <c r="BO53" s="33"/>
      <c r="BP53" s="33"/>
      <c r="BQ53" s="7"/>
      <c r="BR53" s="33"/>
      <c r="BS53" s="33"/>
      <c r="BT53" s="7"/>
      <c r="BU53" s="33"/>
      <c r="BV53" s="33"/>
      <c r="BW53" s="7"/>
      <c r="BX53" s="33">
        <v>226959.32</v>
      </c>
      <c r="BY53" s="7">
        <f t="shared" si="18"/>
        <v>307405.78999999998</v>
      </c>
      <c r="BZ53" s="7">
        <f t="shared" si="19"/>
        <v>307405.78999999998</v>
      </c>
      <c r="CA53" s="33"/>
      <c r="CB53" s="7">
        <f t="shared" si="20"/>
        <v>301379.21000000002</v>
      </c>
      <c r="CC53" s="7">
        <f t="shared" si="21"/>
        <v>301379.21000000002</v>
      </c>
      <c r="CD53" s="15">
        <f t="shared" si="22"/>
        <v>0.50494967845791205</v>
      </c>
      <c r="CE53" s="15">
        <f t="shared" si="23"/>
        <v>0.50494967845791205</v>
      </c>
      <c r="CF53" s="451" t="s">
        <v>817</v>
      </c>
      <c r="CG53" s="33"/>
      <c r="CH53" s="33"/>
      <c r="CI53" s="33"/>
      <c r="CJ53" s="33"/>
      <c r="CK53" s="33"/>
      <c r="CL53" s="7"/>
      <c r="CM53" s="33"/>
      <c r="CN53" s="7"/>
      <c r="CO53" s="33"/>
      <c r="CP53" s="33"/>
      <c r="CQ53" s="7"/>
      <c r="CR53" s="7"/>
      <c r="CS53" s="7"/>
      <c r="CT53" s="33"/>
      <c r="CU53" s="33"/>
      <c r="CV53" s="7"/>
      <c r="CW53" s="33"/>
      <c r="CX53" s="33"/>
      <c r="CY53" s="7"/>
      <c r="CZ53" s="33"/>
      <c r="DA53" s="33"/>
      <c r="DB53" s="7"/>
      <c r="DC53" s="33"/>
      <c r="DD53" s="7"/>
      <c r="DE53" s="33"/>
      <c r="DF53" s="7"/>
      <c r="DG53" s="33"/>
      <c r="DH53" s="7"/>
      <c r="DI53" s="33"/>
      <c r="DJ53" s="7"/>
      <c r="DK53" s="33"/>
      <c r="DL53" s="7"/>
      <c r="DM53" s="33"/>
      <c r="DN53" s="7"/>
      <c r="DO53" s="33"/>
      <c r="DP53" s="14"/>
      <c r="DQ53" s="14"/>
      <c r="DR53" s="7"/>
      <c r="DS53" s="7"/>
      <c r="DT53" s="7"/>
      <c r="DU53" s="15"/>
      <c r="DV53" s="15"/>
      <c r="DW53" s="33"/>
      <c r="DX53" s="33"/>
      <c r="DY53" s="33"/>
      <c r="DZ53" s="36"/>
      <c r="EA53" s="109"/>
    </row>
    <row r="54" spans="1:131" s="1" customFormat="1" x14ac:dyDescent="0.25">
      <c r="A54" s="12" t="s">
        <v>564</v>
      </c>
      <c r="B54" s="24" t="s">
        <v>62</v>
      </c>
      <c r="C54" s="8" t="s">
        <v>227</v>
      </c>
      <c r="D54" s="24" t="s">
        <v>13</v>
      </c>
      <c r="E54" s="3">
        <v>255005</v>
      </c>
      <c r="F54" s="353">
        <v>4</v>
      </c>
      <c r="G54" s="353">
        <v>36</v>
      </c>
      <c r="H54" s="353">
        <v>1511</v>
      </c>
      <c r="I54" s="9" t="s">
        <v>13</v>
      </c>
      <c r="J54" s="10" t="s">
        <v>13</v>
      </c>
      <c r="K54" s="3">
        <v>4</v>
      </c>
      <c r="L54" s="3">
        <v>36</v>
      </c>
      <c r="M54" s="45"/>
      <c r="N54" s="3" t="s">
        <v>186</v>
      </c>
      <c r="O54" s="3" t="s">
        <v>189</v>
      </c>
      <c r="P54" s="11" t="s">
        <v>187</v>
      </c>
      <c r="Q54" s="11" t="s">
        <v>187</v>
      </c>
      <c r="R54" s="11" t="s">
        <v>193</v>
      </c>
      <c r="S54" s="3" t="s">
        <v>188</v>
      </c>
      <c r="T54" s="12" t="s">
        <v>110</v>
      </c>
      <c r="U54" s="12" t="s">
        <v>222</v>
      </c>
      <c r="V54" s="12"/>
      <c r="W54" s="12" t="s">
        <v>36</v>
      </c>
      <c r="X54" s="12" t="s">
        <v>13</v>
      </c>
      <c r="Y54" s="25" t="s">
        <v>69</v>
      </c>
      <c r="Z54" s="347">
        <v>19</v>
      </c>
      <c r="AA54" s="10" t="s">
        <v>540</v>
      </c>
      <c r="AB54" s="110" t="s">
        <v>37</v>
      </c>
      <c r="AC54" s="33">
        <v>8000000</v>
      </c>
      <c r="AD54" s="33"/>
      <c r="AE54" s="7">
        <f t="shared" si="85"/>
        <v>8000000</v>
      </c>
      <c r="AF54" s="33">
        <v>1800000</v>
      </c>
      <c r="AG54" s="7">
        <f t="shared" si="24"/>
        <v>9800000</v>
      </c>
      <c r="AH54" s="33"/>
      <c r="AI54" s="7">
        <f t="shared" si="25"/>
        <v>9800000</v>
      </c>
      <c r="AJ54" s="409"/>
      <c r="AK54" s="7">
        <v>100000</v>
      </c>
      <c r="AL54" s="33"/>
      <c r="AM54" s="33">
        <f t="shared" si="28"/>
        <v>100000</v>
      </c>
      <c r="AN54" s="33">
        <v>0</v>
      </c>
      <c r="AO54" s="33">
        <v>0</v>
      </c>
      <c r="AP54" s="7">
        <f t="shared" si="29"/>
        <v>0</v>
      </c>
      <c r="AQ54" s="33"/>
      <c r="AR54" s="33"/>
      <c r="AS54" s="7">
        <f t="shared" si="30"/>
        <v>0</v>
      </c>
      <c r="AT54" s="33"/>
      <c r="AU54" s="33"/>
      <c r="AV54" s="7">
        <f t="shared" si="31"/>
        <v>0</v>
      </c>
      <c r="AW54" s="33"/>
      <c r="AX54" s="33"/>
      <c r="AY54" s="7">
        <f t="shared" si="1"/>
        <v>0</v>
      </c>
      <c r="AZ54" s="33"/>
      <c r="BA54" s="33"/>
      <c r="BB54" s="7">
        <f t="shared" si="32"/>
        <v>0</v>
      </c>
      <c r="BC54" s="33"/>
      <c r="BD54" s="33"/>
      <c r="BE54" s="7">
        <f t="shared" si="33"/>
        <v>0</v>
      </c>
      <c r="BF54" s="33"/>
      <c r="BG54" s="33"/>
      <c r="BH54" s="7">
        <f t="shared" si="34"/>
        <v>0</v>
      </c>
      <c r="BI54" s="33"/>
      <c r="BJ54" s="33"/>
      <c r="BK54" s="7">
        <f t="shared" si="35"/>
        <v>0</v>
      </c>
      <c r="BL54" s="33"/>
      <c r="BM54" s="33"/>
      <c r="BN54" s="7">
        <f t="shared" si="36"/>
        <v>0</v>
      </c>
      <c r="BO54" s="33"/>
      <c r="BP54" s="33"/>
      <c r="BQ54" s="7">
        <f t="shared" si="37"/>
        <v>0</v>
      </c>
      <c r="BR54" s="33"/>
      <c r="BS54" s="33"/>
      <c r="BT54" s="7">
        <f t="shared" si="38"/>
        <v>0</v>
      </c>
      <c r="BU54" s="33"/>
      <c r="BV54" s="33"/>
      <c r="BW54" s="7">
        <f t="shared" si="39"/>
        <v>0</v>
      </c>
      <c r="BX54" s="33"/>
      <c r="BY54" s="7">
        <f t="shared" si="18"/>
        <v>0</v>
      </c>
      <c r="BZ54" s="7">
        <f t="shared" si="19"/>
        <v>0</v>
      </c>
      <c r="CA54" s="33"/>
      <c r="CB54" s="7">
        <f t="shared" si="20"/>
        <v>100000</v>
      </c>
      <c r="CC54" s="7">
        <f t="shared" si="21"/>
        <v>100000</v>
      </c>
      <c r="CD54" s="15">
        <f t="shared" si="22"/>
        <v>0</v>
      </c>
      <c r="CE54" s="15">
        <f t="shared" si="23"/>
        <v>0</v>
      </c>
      <c r="CF54" s="451" t="s">
        <v>766</v>
      </c>
      <c r="CG54" s="33">
        <v>0</v>
      </c>
      <c r="CH54" s="33">
        <v>0</v>
      </c>
      <c r="CI54" s="33"/>
      <c r="CJ54" s="33"/>
      <c r="CK54" s="33"/>
      <c r="CL54" s="7">
        <f>CK54</f>
        <v>0</v>
      </c>
      <c r="CM54" s="33">
        <v>149203.54999999999</v>
      </c>
      <c r="CN54" s="7">
        <f>CM54+20888.5</f>
        <v>170092.05</v>
      </c>
      <c r="CO54" s="33">
        <v>761056.68</v>
      </c>
      <c r="CP54" s="33">
        <v>106547.93</v>
      </c>
      <c r="CQ54" s="7">
        <f>CO54+CP54</f>
        <v>867604.6100000001</v>
      </c>
      <c r="CR54" s="7">
        <f>CK54+CM54+CO54</f>
        <v>910260.23</v>
      </c>
      <c r="CS54" s="7">
        <f>CL54+CN54+CQ54</f>
        <v>1037696.6600000001</v>
      </c>
      <c r="CT54" s="33"/>
      <c r="CU54" s="33"/>
      <c r="CV54" s="7">
        <f>CT54+CU54</f>
        <v>0</v>
      </c>
      <c r="CW54" s="33">
        <v>340800.89</v>
      </c>
      <c r="CX54" s="33">
        <v>47712.12</v>
      </c>
      <c r="CY54" s="7">
        <f>CW54+CX54</f>
        <v>388513.01</v>
      </c>
      <c r="CZ54" s="33">
        <v>751461.26</v>
      </c>
      <c r="DA54" s="33"/>
      <c r="DB54" s="7">
        <f t="shared" si="79"/>
        <v>751461.26</v>
      </c>
      <c r="DC54" s="33"/>
      <c r="DD54" s="7">
        <f>DC54</f>
        <v>0</v>
      </c>
      <c r="DE54" s="33"/>
      <c r="DF54" s="7">
        <f>DE54</f>
        <v>0</v>
      </c>
      <c r="DG54" s="33"/>
      <c r="DH54" s="7">
        <f>DG54</f>
        <v>0</v>
      </c>
      <c r="DI54" s="33"/>
      <c r="DJ54" s="7">
        <f>DI54</f>
        <v>0</v>
      </c>
      <c r="DK54" s="33"/>
      <c r="DL54" s="7">
        <f>DK54</f>
        <v>0</v>
      </c>
      <c r="DM54" s="33"/>
      <c r="DN54" s="7">
        <f>DM54</f>
        <v>0</v>
      </c>
      <c r="DO54" s="33"/>
      <c r="DP54" s="14">
        <f>CK54+CM54+CO54+CT54+CW54+CZ54+DC54+DE54+DG54+DI54+DK54+DM54</f>
        <v>2002522.3800000001</v>
      </c>
      <c r="DQ54" s="14">
        <f t="shared" si="80"/>
        <v>2177670.9300000002</v>
      </c>
      <c r="DR54" s="7"/>
      <c r="DS54" s="7">
        <f t="shared" si="81"/>
        <v>7797477.6200000001</v>
      </c>
      <c r="DT54" s="7">
        <f t="shared" si="82"/>
        <v>7622329.0700000003</v>
      </c>
      <c r="DU54" s="15">
        <f t="shared" si="83"/>
        <v>0.20433901836734694</v>
      </c>
      <c r="DV54" s="15">
        <f t="shared" si="84"/>
        <v>0.22221131938775512</v>
      </c>
      <c r="DW54" s="33"/>
      <c r="DX54" s="33"/>
      <c r="DY54" s="33"/>
      <c r="DZ54" s="36"/>
      <c r="EA54" s="109"/>
    </row>
    <row r="55" spans="1:131" s="1" customFormat="1" x14ac:dyDescent="0.25">
      <c r="A55" s="12" t="s">
        <v>564</v>
      </c>
      <c r="B55" s="24" t="s">
        <v>62</v>
      </c>
      <c r="C55" s="8" t="s">
        <v>227</v>
      </c>
      <c r="D55" s="24" t="s">
        <v>13</v>
      </c>
      <c r="E55" s="3">
        <v>255005</v>
      </c>
      <c r="F55" s="353">
        <v>4</v>
      </c>
      <c r="G55" s="353">
        <v>36</v>
      </c>
      <c r="H55" s="353">
        <v>1512</v>
      </c>
      <c r="I55" s="9" t="s">
        <v>13</v>
      </c>
      <c r="J55" s="10" t="s">
        <v>13</v>
      </c>
      <c r="K55" s="3">
        <v>4</v>
      </c>
      <c r="L55" s="3">
        <v>36</v>
      </c>
      <c r="M55" s="45"/>
      <c r="N55" s="3" t="s">
        <v>186</v>
      </c>
      <c r="O55" s="3" t="s">
        <v>189</v>
      </c>
      <c r="P55" s="11" t="s">
        <v>187</v>
      </c>
      <c r="Q55" s="11" t="s">
        <v>187</v>
      </c>
      <c r="R55" s="11" t="s">
        <v>193</v>
      </c>
      <c r="S55" s="3" t="s">
        <v>188</v>
      </c>
      <c r="T55" s="12" t="s">
        <v>110</v>
      </c>
      <c r="U55" s="12" t="s">
        <v>222</v>
      </c>
      <c r="V55" s="12"/>
      <c r="W55" s="12" t="s">
        <v>36</v>
      </c>
      <c r="X55" s="12" t="s">
        <v>13</v>
      </c>
      <c r="Y55" s="25" t="s">
        <v>69</v>
      </c>
      <c r="Z55" s="25">
        <v>9</v>
      </c>
      <c r="AA55" s="10" t="s">
        <v>168</v>
      </c>
      <c r="AB55" s="110" t="s">
        <v>37</v>
      </c>
      <c r="AC55" s="33">
        <v>200000</v>
      </c>
      <c r="AD55" s="33"/>
      <c r="AE55" s="7">
        <f t="shared" si="85"/>
        <v>200000</v>
      </c>
      <c r="AF55" s="33"/>
      <c r="AG55" s="7">
        <f t="shared" si="24"/>
        <v>200000</v>
      </c>
      <c r="AH55" s="33"/>
      <c r="AI55" s="7">
        <f t="shared" si="25"/>
        <v>200000</v>
      </c>
      <c r="AJ55" s="409"/>
      <c r="AK55" s="7">
        <v>2200000</v>
      </c>
      <c r="AL55" s="33">
        <v>-180000</v>
      </c>
      <c r="AM55" s="33">
        <f t="shared" si="28"/>
        <v>2020000</v>
      </c>
      <c r="AN55" s="33">
        <v>0</v>
      </c>
      <c r="AO55" s="33">
        <v>0</v>
      </c>
      <c r="AP55" s="7">
        <f t="shared" si="29"/>
        <v>0</v>
      </c>
      <c r="AQ55" s="33"/>
      <c r="AR55" s="33"/>
      <c r="AS55" s="7">
        <f t="shared" si="30"/>
        <v>0</v>
      </c>
      <c r="AT55" s="33"/>
      <c r="AU55" s="33"/>
      <c r="AV55" s="7">
        <f t="shared" si="31"/>
        <v>0</v>
      </c>
      <c r="AW55" s="33">
        <v>99250</v>
      </c>
      <c r="AX55" s="33">
        <v>99520</v>
      </c>
      <c r="AY55" s="7">
        <f t="shared" si="1"/>
        <v>198770</v>
      </c>
      <c r="AZ55" s="33"/>
      <c r="BA55" s="33"/>
      <c r="BB55" s="7">
        <f t="shared" si="32"/>
        <v>0</v>
      </c>
      <c r="BC55" s="33"/>
      <c r="BD55" s="33"/>
      <c r="BE55" s="7">
        <f t="shared" si="33"/>
        <v>0</v>
      </c>
      <c r="BF55" s="33"/>
      <c r="BG55" s="33"/>
      <c r="BH55" s="7">
        <f t="shared" si="34"/>
        <v>0</v>
      </c>
      <c r="BI55" s="33"/>
      <c r="BJ55" s="33"/>
      <c r="BK55" s="7">
        <f t="shared" si="35"/>
        <v>0</v>
      </c>
      <c r="BL55" s="33"/>
      <c r="BM55" s="33"/>
      <c r="BN55" s="7">
        <f t="shared" si="36"/>
        <v>0</v>
      </c>
      <c r="BO55" s="33"/>
      <c r="BP55" s="33"/>
      <c r="BQ55" s="7">
        <f t="shared" si="37"/>
        <v>0</v>
      </c>
      <c r="BR55" s="33"/>
      <c r="BS55" s="33"/>
      <c r="BT55" s="7">
        <f t="shared" si="38"/>
        <v>0</v>
      </c>
      <c r="BU55" s="33"/>
      <c r="BV55" s="33"/>
      <c r="BW55" s="7">
        <f t="shared" si="39"/>
        <v>0</v>
      </c>
      <c r="BX55" s="33"/>
      <c r="BY55" s="7">
        <f t="shared" si="18"/>
        <v>99250</v>
      </c>
      <c r="BZ55" s="7">
        <f t="shared" si="19"/>
        <v>198770</v>
      </c>
      <c r="CA55" s="33"/>
      <c r="CB55" s="7">
        <f t="shared" si="20"/>
        <v>1920750</v>
      </c>
      <c r="CC55" s="7">
        <f t="shared" si="21"/>
        <v>1821230</v>
      </c>
      <c r="CD55" s="15">
        <f t="shared" si="22"/>
        <v>4.9133663366336636E-2</v>
      </c>
      <c r="CE55" s="15">
        <f t="shared" si="23"/>
        <v>9.8400990099009905E-2</v>
      </c>
      <c r="CF55" s="451" t="s">
        <v>684</v>
      </c>
      <c r="CG55" s="33">
        <v>4800000</v>
      </c>
      <c r="CH55" s="33">
        <v>100000</v>
      </c>
      <c r="CI55" s="33"/>
      <c r="CJ55" s="33"/>
      <c r="CK55" s="33"/>
      <c r="CL55" s="7">
        <f>CK55</f>
        <v>0</v>
      </c>
      <c r="CM55" s="33"/>
      <c r="CN55" s="7">
        <f>CM55</f>
        <v>0</v>
      </c>
      <c r="CO55" s="33"/>
      <c r="CP55" s="33">
        <v>0</v>
      </c>
      <c r="CQ55" s="7">
        <f>CO55+CP55</f>
        <v>0</v>
      </c>
      <c r="CR55" s="7">
        <f>CK55+CM55+CO55</f>
        <v>0</v>
      </c>
      <c r="CS55" s="7">
        <f>CL55+CN55+CQ55</f>
        <v>0</v>
      </c>
      <c r="CT55" s="33"/>
      <c r="CU55" s="33"/>
      <c r="CV55" s="7">
        <f>CT55+CU55</f>
        <v>0</v>
      </c>
      <c r="CW55" s="33"/>
      <c r="CX55" s="33"/>
      <c r="CY55" s="7">
        <f>CW55+CX55</f>
        <v>0</v>
      </c>
      <c r="CZ55" s="33"/>
      <c r="DA55" s="33"/>
      <c r="DB55" s="7">
        <f t="shared" si="79"/>
        <v>0</v>
      </c>
      <c r="DC55" s="33"/>
      <c r="DD55" s="7">
        <f>DC55</f>
        <v>0</v>
      </c>
      <c r="DE55" s="33"/>
      <c r="DF55" s="7">
        <f>DE55</f>
        <v>0</v>
      </c>
      <c r="DG55" s="33"/>
      <c r="DH55" s="7">
        <f>DG55</f>
        <v>0</v>
      </c>
      <c r="DI55" s="33"/>
      <c r="DJ55" s="7">
        <f>DI55</f>
        <v>0</v>
      </c>
      <c r="DK55" s="33"/>
      <c r="DL55" s="7">
        <f>DK55</f>
        <v>0</v>
      </c>
      <c r="DM55" s="33"/>
      <c r="DN55" s="7">
        <f>DM55</f>
        <v>0</v>
      </c>
      <c r="DO55" s="33"/>
      <c r="DP55" s="14">
        <f>CK55+CM55+CO55+CT55+CW55+CZ55+DC55+DE55+DG55+DI55+DK55+DM55</f>
        <v>0</v>
      </c>
      <c r="DQ55" s="14">
        <f t="shared" si="80"/>
        <v>0</v>
      </c>
      <c r="DR55" s="7"/>
      <c r="DS55" s="7">
        <f t="shared" si="81"/>
        <v>200000</v>
      </c>
      <c r="DT55" s="7">
        <f t="shared" si="82"/>
        <v>200000</v>
      </c>
      <c r="DU55" s="15">
        <f>DP55/AG55</f>
        <v>0</v>
      </c>
      <c r="DV55" s="15">
        <f>DQ55/AG55</f>
        <v>0</v>
      </c>
      <c r="DW55" s="33">
        <v>6000000</v>
      </c>
      <c r="DX55" s="33"/>
      <c r="DY55" s="33"/>
      <c r="DZ55" s="36"/>
      <c r="EA55" s="109"/>
    </row>
    <row r="56" spans="1:131" s="1" customFormat="1" x14ac:dyDescent="0.25">
      <c r="A56" s="12" t="s">
        <v>564</v>
      </c>
      <c r="B56" s="24"/>
      <c r="C56" s="8" t="s">
        <v>227</v>
      </c>
      <c r="D56" s="24" t="s">
        <v>13</v>
      </c>
      <c r="E56" s="3">
        <v>255005</v>
      </c>
      <c r="F56" s="353">
        <v>4</v>
      </c>
      <c r="G56" s="353">
        <v>36</v>
      </c>
      <c r="H56" s="353">
        <v>1513</v>
      </c>
      <c r="I56" s="9" t="s">
        <v>13</v>
      </c>
      <c r="J56" s="10" t="s">
        <v>13</v>
      </c>
      <c r="K56" s="3">
        <v>4</v>
      </c>
      <c r="L56" s="3">
        <v>36</v>
      </c>
      <c r="M56" s="45"/>
      <c r="N56" s="3" t="s">
        <v>186</v>
      </c>
      <c r="O56" s="3" t="s">
        <v>189</v>
      </c>
      <c r="P56" s="11" t="s">
        <v>187</v>
      </c>
      <c r="Q56" s="11" t="s">
        <v>187</v>
      </c>
      <c r="R56" s="11" t="s">
        <v>193</v>
      </c>
      <c r="S56" s="3" t="s">
        <v>188</v>
      </c>
      <c r="T56" s="12" t="s">
        <v>110</v>
      </c>
      <c r="U56" s="12" t="s">
        <v>222</v>
      </c>
      <c r="V56" s="12"/>
      <c r="W56" s="12" t="s">
        <v>36</v>
      </c>
      <c r="X56" s="12" t="s">
        <v>13</v>
      </c>
      <c r="Y56" s="25" t="s">
        <v>69</v>
      </c>
      <c r="Z56" s="25"/>
      <c r="AA56" s="10" t="s">
        <v>539</v>
      </c>
      <c r="AB56" s="110" t="s">
        <v>37</v>
      </c>
      <c r="AC56" s="33">
        <v>0</v>
      </c>
      <c r="AD56" s="33"/>
      <c r="AE56" s="7">
        <f t="shared" si="85"/>
        <v>0</v>
      </c>
      <c r="AF56" s="33"/>
      <c r="AG56" s="7">
        <f t="shared" si="24"/>
        <v>0</v>
      </c>
      <c r="AH56" s="33"/>
      <c r="AI56" s="7">
        <f t="shared" si="25"/>
        <v>0</v>
      </c>
      <c r="AJ56" s="409"/>
      <c r="AK56" s="7">
        <v>300000</v>
      </c>
      <c r="AL56" s="33"/>
      <c r="AM56" s="33">
        <f t="shared" si="28"/>
        <v>300000</v>
      </c>
      <c r="AN56" s="33">
        <v>0</v>
      </c>
      <c r="AO56" s="33">
        <v>0</v>
      </c>
      <c r="AP56" s="7">
        <f t="shared" si="29"/>
        <v>0</v>
      </c>
      <c r="AQ56" s="33"/>
      <c r="AR56" s="33"/>
      <c r="AS56" s="7">
        <f t="shared" si="30"/>
        <v>0</v>
      </c>
      <c r="AT56" s="33"/>
      <c r="AU56" s="33"/>
      <c r="AV56" s="7">
        <f t="shared" si="31"/>
        <v>0</v>
      </c>
      <c r="AW56" s="33"/>
      <c r="AX56" s="33"/>
      <c r="AY56" s="7">
        <f t="shared" si="1"/>
        <v>0</v>
      </c>
      <c r="AZ56" s="33"/>
      <c r="BA56" s="33"/>
      <c r="BB56" s="7">
        <f t="shared" si="32"/>
        <v>0</v>
      </c>
      <c r="BC56" s="33"/>
      <c r="BD56" s="33"/>
      <c r="BE56" s="7">
        <f t="shared" si="33"/>
        <v>0</v>
      </c>
      <c r="BF56" s="33"/>
      <c r="BG56" s="33"/>
      <c r="BH56" s="7">
        <f t="shared" si="34"/>
        <v>0</v>
      </c>
      <c r="BI56" s="33"/>
      <c r="BJ56" s="33"/>
      <c r="BK56" s="7">
        <f t="shared" si="35"/>
        <v>0</v>
      </c>
      <c r="BL56" s="33"/>
      <c r="BM56" s="33"/>
      <c r="BN56" s="7">
        <f t="shared" si="36"/>
        <v>0</v>
      </c>
      <c r="BO56" s="33"/>
      <c r="BP56" s="33"/>
      <c r="BQ56" s="7">
        <f t="shared" si="37"/>
        <v>0</v>
      </c>
      <c r="BR56" s="33"/>
      <c r="BS56" s="33"/>
      <c r="BT56" s="7">
        <f t="shared" si="38"/>
        <v>0</v>
      </c>
      <c r="BU56" s="33"/>
      <c r="BV56" s="33"/>
      <c r="BW56" s="7">
        <f t="shared" si="39"/>
        <v>0</v>
      </c>
      <c r="BX56" s="33"/>
      <c r="BY56" s="7">
        <f t="shared" si="18"/>
        <v>0</v>
      </c>
      <c r="BZ56" s="7">
        <f t="shared" si="19"/>
        <v>0</v>
      </c>
      <c r="CA56" s="33"/>
      <c r="CB56" s="7">
        <f t="shared" si="20"/>
        <v>300000</v>
      </c>
      <c r="CC56" s="7">
        <f t="shared" si="21"/>
        <v>300000</v>
      </c>
      <c r="CD56" s="15">
        <f t="shared" si="22"/>
        <v>0</v>
      </c>
      <c r="CE56" s="15">
        <f t="shared" si="23"/>
        <v>0</v>
      </c>
      <c r="CF56" s="451" t="s">
        <v>767</v>
      </c>
      <c r="CG56" s="33">
        <v>300000</v>
      </c>
      <c r="CH56" s="33">
        <v>500000</v>
      </c>
      <c r="CI56" s="33"/>
      <c r="CJ56" s="33"/>
      <c r="CK56" s="33"/>
      <c r="CL56" s="7"/>
      <c r="CM56" s="33"/>
      <c r="CN56" s="7"/>
      <c r="CO56" s="33"/>
      <c r="CP56" s="33"/>
      <c r="CQ56" s="7"/>
      <c r="CR56" s="7"/>
      <c r="CS56" s="7"/>
      <c r="CT56" s="33"/>
      <c r="CU56" s="33"/>
      <c r="CV56" s="7"/>
      <c r="CW56" s="33"/>
      <c r="CX56" s="33"/>
      <c r="CY56" s="7"/>
      <c r="CZ56" s="33"/>
      <c r="DA56" s="33"/>
      <c r="DB56" s="7"/>
      <c r="DC56" s="33"/>
      <c r="DD56" s="7"/>
      <c r="DE56" s="33"/>
      <c r="DF56" s="7"/>
      <c r="DG56" s="33"/>
      <c r="DH56" s="7"/>
      <c r="DI56" s="33"/>
      <c r="DJ56" s="7"/>
      <c r="DK56" s="33"/>
      <c r="DL56" s="7"/>
      <c r="DM56" s="33"/>
      <c r="DN56" s="7"/>
      <c r="DO56" s="33"/>
      <c r="DP56" s="14"/>
      <c r="DQ56" s="14"/>
      <c r="DR56" s="7"/>
      <c r="DS56" s="7"/>
      <c r="DT56" s="7"/>
      <c r="DU56" s="15"/>
      <c r="DV56" s="15"/>
      <c r="DW56" s="33"/>
      <c r="DX56" s="33"/>
      <c r="DY56" s="33"/>
      <c r="DZ56" s="36"/>
      <c r="EA56" s="109"/>
    </row>
    <row r="57" spans="1:131" s="1" customFormat="1" ht="30.75" x14ac:dyDescent="0.25">
      <c r="A57" s="12" t="s">
        <v>564</v>
      </c>
      <c r="B57" s="24" t="s">
        <v>62</v>
      </c>
      <c r="C57" s="8" t="s">
        <v>227</v>
      </c>
      <c r="D57" s="24" t="s">
        <v>13</v>
      </c>
      <c r="E57" s="3">
        <v>255005</v>
      </c>
      <c r="F57" s="353">
        <v>4</v>
      </c>
      <c r="G57" s="353">
        <v>36</v>
      </c>
      <c r="H57" s="353">
        <v>1514</v>
      </c>
      <c r="I57" s="9" t="s">
        <v>13</v>
      </c>
      <c r="J57" s="10" t="s">
        <v>13</v>
      </c>
      <c r="K57" s="3">
        <v>4</v>
      </c>
      <c r="L57" s="3">
        <v>36</v>
      </c>
      <c r="M57" s="45"/>
      <c r="N57" s="3" t="s">
        <v>186</v>
      </c>
      <c r="O57" s="3" t="s">
        <v>189</v>
      </c>
      <c r="P57" s="11" t="s">
        <v>187</v>
      </c>
      <c r="Q57" s="11" t="s">
        <v>187</v>
      </c>
      <c r="R57" s="11" t="s">
        <v>193</v>
      </c>
      <c r="S57" s="3" t="s">
        <v>188</v>
      </c>
      <c r="T57" s="12" t="s">
        <v>110</v>
      </c>
      <c r="U57" s="12" t="s">
        <v>222</v>
      </c>
      <c r="V57" s="12"/>
      <c r="W57" s="12" t="s">
        <v>36</v>
      </c>
      <c r="X57" s="12" t="s">
        <v>13</v>
      </c>
      <c r="Y57" s="25" t="s">
        <v>69</v>
      </c>
      <c r="Z57" s="347" t="s">
        <v>97</v>
      </c>
      <c r="AA57" s="252" t="s">
        <v>174</v>
      </c>
      <c r="AB57" s="110" t="s">
        <v>37</v>
      </c>
      <c r="AC57" s="33">
        <v>3500000</v>
      </c>
      <c r="AD57" s="33"/>
      <c r="AE57" s="7">
        <f t="shared" si="85"/>
        <v>3500000</v>
      </c>
      <c r="AF57" s="33"/>
      <c r="AG57" s="7">
        <f t="shared" si="24"/>
        <v>3500000</v>
      </c>
      <c r="AH57" s="33"/>
      <c r="AI57" s="7">
        <f t="shared" si="25"/>
        <v>3500000</v>
      </c>
      <c r="AJ57" s="409"/>
      <c r="AK57" s="7">
        <v>15000000</v>
      </c>
      <c r="AL57" s="33">
        <v>-1306712</v>
      </c>
      <c r="AM57" s="33">
        <f t="shared" si="28"/>
        <v>13693288</v>
      </c>
      <c r="AN57" s="33">
        <v>92322.33</v>
      </c>
      <c r="AO57" s="33">
        <v>12925.13</v>
      </c>
      <c r="AP57" s="7">
        <f t="shared" si="29"/>
        <v>105247.46</v>
      </c>
      <c r="AQ57" s="33">
        <v>2636185.4900000002</v>
      </c>
      <c r="AR57" s="33">
        <v>335267.90999999997</v>
      </c>
      <c r="AS57" s="7">
        <f t="shared" si="30"/>
        <v>2971453.4000000004</v>
      </c>
      <c r="AT57" s="33">
        <v>4404470.01</v>
      </c>
      <c r="AU57" s="33">
        <v>555616.39</v>
      </c>
      <c r="AV57" s="7">
        <f t="shared" si="31"/>
        <v>4960086.3999999994</v>
      </c>
      <c r="AW57" s="33">
        <v>4033709.64</v>
      </c>
      <c r="AX57" s="33">
        <v>512671.78</v>
      </c>
      <c r="AY57" s="7">
        <f t="shared" si="1"/>
        <v>4546381.42</v>
      </c>
      <c r="AZ57" s="33"/>
      <c r="BA57" s="33"/>
      <c r="BB57" s="7">
        <f t="shared" si="32"/>
        <v>0</v>
      </c>
      <c r="BC57" s="33"/>
      <c r="BD57" s="33"/>
      <c r="BE57" s="7">
        <f t="shared" si="33"/>
        <v>0</v>
      </c>
      <c r="BF57" s="33"/>
      <c r="BG57" s="33"/>
      <c r="BH57" s="7">
        <f t="shared" si="34"/>
        <v>0</v>
      </c>
      <c r="BI57" s="33"/>
      <c r="BJ57" s="33"/>
      <c r="BK57" s="7">
        <f t="shared" si="35"/>
        <v>0</v>
      </c>
      <c r="BL57" s="33"/>
      <c r="BM57" s="33"/>
      <c r="BN57" s="7">
        <f t="shared" si="36"/>
        <v>0</v>
      </c>
      <c r="BO57" s="33"/>
      <c r="BP57" s="33"/>
      <c r="BQ57" s="7">
        <f t="shared" si="37"/>
        <v>0</v>
      </c>
      <c r="BR57" s="33"/>
      <c r="BS57" s="33"/>
      <c r="BT57" s="7">
        <f t="shared" si="38"/>
        <v>0</v>
      </c>
      <c r="BU57" s="33"/>
      <c r="BV57" s="33"/>
      <c r="BW57" s="7">
        <f t="shared" si="39"/>
        <v>0</v>
      </c>
      <c r="BX57" s="33"/>
      <c r="BY57" s="7">
        <f t="shared" si="18"/>
        <v>11166687.470000001</v>
      </c>
      <c r="BZ57" s="7">
        <f t="shared" si="19"/>
        <v>12583168.68</v>
      </c>
      <c r="CA57" s="33"/>
      <c r="CB57" s="7">
        <f t="shared" si="20"/>
        <v>2526600.5299999993</v>
      </c>
      <c r="CC57" s="7">
        <f t="shared" si="21"/>
        <v>1110119.3200000003</v>
      </c>
      <c r="CD57" s="15">
        <f t="shared" si="22"/>
        <v>0.81548620535842087</v>
      </c>
      <c r="CE57" s="15">
        <f t="shared" si="23"/>
        <v>0.91892967415860971</v>
      </c>
      <c r="CF57" s="451" t="s">
        <v>818</v>
      </c>
      <c r="CG57" s="33">
        <f>34000000-15000000</f>
        <v>19000000</v>
      </c>
      <c r="CH57" s="33">
        <f>61000000+15000000</f>
        <v>76000000</v>
      </c>
      <c r="CI57" s="313"/>
      <c r="CJ57" s="313"/>
      <c r="CK57" s="33"/>
      <c r="CL57" s="7">
        <f>CK57</f>
        <v>0</v>
      </c>
      <c r="CM57" s="33">
        <v>4737.54</v>
      </c>
      <c r="CN57" s="7">
        <f>CM57</f>
        <v>4737.54</v>
      </c>
      <c r="CO57" s="33">
        <v>-4737.54</v>
      </c>
      <c r="CP57" s="33">
        <v>0</v>
      </c>
      <c r="CQ57" s="7">
        <f>CO57+CP57</f>
        <v>-4737.54</v>
      </c>
      <c r="CR57" s="7">
        <f>CK57+CM57+CO57</f>
        <v>0</v>
      </c>
      <c r="CS57" s="7">
        <f>CL57+CN57+CQ57</f>
        <v>0</v>
      </c>
      <c r="CT57" s="33"/>
      <c r="CU57" s="33"/>
      <c r="CV57" s="7">
        <f>CT57+CU57</f>
        <v>0</v>
      </c>
      <c r="CW57" s="33"/>
      <c r="CX57" s="33"/>
      <c r="CY57" s="7">
        <f>CW57+CX57</f>
        <v>0</v>
      </c>
      <c r="CZ57" s="33">
        <v>9997.5</v>
      </c>
      <c r="DA57" s="33">
        <v>1399.65</v>
      </c>
      <c r="DB57" s="7">
        <f>CZ57+DA57</f>
        <v>11397.15</v>
      </c>
      <c r="DC57" s="33"/>
      <c r="DD57" s="7">
        <f>DC57</f>
        <v>0</v>
      </c>
      <c r="DE57" s="33"/>
      <c r="DF57" s="7">
        <f>DE57</f>
        <v>0</v>
      </c>
      <c r="DG57" s="33"/>
      <c r="DH57" s="7">
        <f>DG57</f>
        <v>0</v>
      </c>
      <c r="DI57" s="33"/>
      <c r="DJ57" s="7">
        <f>DI57</f>
        <v>0</v>
      </c>
      <c r="DK57" s="33"/>
      <c r="DL57" s="7">
        <f>DK57</f>
        <v>0</v>
      </c>
      <c r="DM57" s="33"/>
      <c r="DN57" s="7">
        <f>DM57</f>
        <v>0</v>
      </c>
      <c r="DO57" s="33"/>
      <c r="DP57" s="14">
        <f>CK57+CM57+CO57+CT57+CW57+CZ57+DC57+DE57+DG57+DI57+DK57+DM57</f>
        <v>9997.5</v>
      </c>
      <c r="DQ57" s="14">
        <f>CL57+CN57+CQ57+CV57+CY57+DB57</f>
        <v>11397.15</v>
      </c>
      <c r="DR57" s="7"/>
      <c r="DS57" s="7">
        <f>AG57-DP57</f>
        <v>3490002.5</v>
      </c>
      <c r="DT57" s="7">
        <f>AG57-DQ57</f>
        <v>3488602.85</v>
      </c>
      <c r="DU57" s="15">
        <f t="shared" si="83"/>
        <v>2.8564285714285714E-3</v>
      </c>
      <c r="DV57" s="15">
        <f t="shared" si="84"/>
        <v>3.2563285714285713E-3</v>
      </c>
      <c r="DW57" s="33">
        <v>73047792</v>
      </c>
      <c r="DX57" s="33"/>
      <c r="DY57" s="33"/>
      <c r="DZ57" s="36"/>
      <c r="EA57" s="308">
        <f>+AI57+AK57+CG57+CH57</f>
        <v>113500000</v>
      </c>
    </row>
    <row r="58" spans="1:131" s="1" customFormat="1" ht="45.75" x14ac:dyDescent="0.25">
      <c r="A58" s="12" t="s">
        <v>564</v>
      </c>
      <c r="B58" s="24" t="s">
        <v>62</v>
      </c>
      <c r="C58" s="8" t="s">
        <v>227</v>
      </c>
      <c r="D58" s="24" t="s">
        <v>13</v>
      </c>
      <c r="E58" s="3">
        <v>255005</v>
      </c>
      <c r="F58" s="353">
        <v>4</v>
      </c>
      <c r="G58" s="353">
        <v>36</v>
      </c>
      <c r="H58" s="353">
        <v>1515</v>
      </c>
      <c r="I58" s="9" t="s">
        <v>13</v>
      </c>
      <c r="J58" s="10" t="s">
        <v>13</v>
      </c>
      <c r="K58" s="3">
        <v>4</v>
      </c>
      <c r="L58" s="3">
        <v>36</v>
      </c>
      <c r="M58" s="45"/>
      <c r="N58" s="3" t="s">
        <v>186</v>
      </c>
      <c r="O58" s="3" t="s">
        <v>189</v>
      </c>
      <c r="P58" s="11" t="s">
        <v>187</v>
      </c>
      <c r="Q58" s="11" t="s">
        <v>187</v>
      </c>
      <c r="R58" s="11" t="s">
        <v>193</v>
      </c>
      <c r="S58" s="3" t="s">
        <v>188</v>
      </c>
      <c r="T58" s="12" t="s">
        <v>110</v>
      </c>
      <c r="U58" s="12" t="s">
        <v>222</v>
      </c>
      <c r="V58" s="12"/>
      <c r="W58" s="12" t="s">
        <v>36</v>
      </c>
      <c r="X58" s="12" t="s">
        <v>13</v>
      </c>
      <c r="Y58" s="25" t="s">
        <v>69</v>
      </c>
      <c r="Z58" s="347" t="s">
        <v>96</v>
      </c>
      <c r="AA58" s="252" t="s">
        <v>175</v>
      </c>
      <c r="AB58" s="110" t="s">
        <v>37</v>
      </c>
      <c r="AC58" s="33">
        <v>3500000</v>
      </c>
      <c r="AD58" s="33"/>
      <c r="AE58" s="7">
        <f t="shared" si="85"/>
        <v>3500000</v>
      </c>
      <c r="AF58" s="33"/>
      <c r="AG58" s="7">
        <f t="shared" si="24"/>
        <v>3500000</v>
      </c>
      <c r="AH58" s="33">
        <v>-2500000</v>
      </c>
      <c r="AI58" s="7">
        <f t="shared" si="25"/>
        <v>1000000</v>
      </c>
      <c r="AJ58" s="409"/>
      <c r="AK58" s="7">
        <v>10000000</v>
      </c>
      <c r="AL58" s="33"/>
      <c r="AM58" s="33">
        <f t="shared" si="28"/>
        <v>10000000</v>
      </c>
      <c r="AN58" s="33">
        <v>0</v>
      </c>
      <c r="AO58" s="33">
        <v>0</v>
      </c>
      <c r="AP58" s="7">
        <f t="shared" si="29"/>
        <v>0</v>
      </c>
      <c r="AQ58" s="33"/>
      <c r="AR58" s="33"/>
      <c r="AS58" s="7">
        <f t="shared" si="30"/>
        <v>0</v>
      </c>
      <c r="AT58" s="33"/>
      <c r="AU58" s="33"/>
      <c r="AV58" s="7">
        <f t="shared" si="31"/>
        <v>0</v>
      </c>
      <c r="AW58" s="33"/>
      <c r="AX58" s="33"/>
      <c r="AY58" s="7">
        <f t="shared" si="1"/>
        <v>0</v>
      </c>
      <c r="AZ58" s="33"/>
      <c r="BA58" s="33"/>
      <c r="BB58" s="7">
        <f t="shared" si="32"/>
        <v>0</v>
      </c>
      <c r="BC58" s="33"/>
      <c r="BD58" s="33"/>
      <c r="BE58" s="7">
        <f t="shared" si="33"/>
        <v>0</v>
      </c>
      <c r="BF58" s="33"/>
      <c r="BG58" s="33"/>
      <c r="BH58" s="7">
        <f t="shared" si="34"/>
        <v>0</v>
      </c>
      <c r="BI58" s="33"/>
      <c r="BJ58" s="33"/>
      <c r="BK58" s="7">
        <f t="shared" si="35"/>
        <v>0</v>
      </c>
      <c r="BL58" s="33"/>
      <c r="BM58" s="33"/>
      <c r="BN58" s="7">
        <f t="shared" si="36"/>
        <v>0</v>
      </c>
      <c r="BO58" s="33"/>
      <c r="BP58" s="33"/>
      <c r="BQ58" s="7">
        <f t="shared" si="37"/>
        <v>0</v>
      </c>
      <c r="BR58" s="33"/>
      <c r="BS58" s="33"/>
      <c r="BT58" s="7">
        <f t="shared" si="38"/>
        <v>0</v>
      </c>
      <c r="BU58" s="33"/>
      <c r="BV58" s="33"/>
      <c r="BW58" s="7">
        <f t="shared" si="39"/>
        <v>0</v>
      </c>
      <c r="BX58" s="33"/>
      <c r="BY58" s="7">
        <f t="shared" si="18"/>
        <v>0</v>
      </c>
      <c r="BZ58" s="7">
        <f t="shared" si="19"/>
        <v>0</v>
      </c>
      <c r="CA58" s="33"/>
      <c r="CB58" s="7">
        <f t="shared" si="20"/>
        <v>10000000</v>
      </c>
      <c r="CC58" s="7">
        <f t="shared" si="21"/>
        <v>10000000</v>
      </c>
      <c r="CD58" s="15">
        <f t="shared" si="22"/>
        <v>0</v>
      </c>
      <c r="CE58" s="15">
        <f t="shared" si="23"/>
        <v>0</v>
      </c>
      <c r="CF58" s="451" t="s">
        <v>819</v>
      </c>
      <c r="CG58" s="33">
        <f>20000000-10000000</f>
        <v>10000000</v>
      </c>
      <c r="CH58" s="33">
        <f>34000000+2464685</f>
        <v>36464685</v>
      </c>
      <c r="CI58" s="313"/>
      <c r="CJ58" s="313"/>
      <c r="CK58" s="33"/>
      <c r="CL58" s="7">
        <f>CK58</f>
        <v>0</v>
      </c>
      <c r="CM58" s="33"/>
      <c r="CN58" s="7">
        <f>CM58</f>
        <v>0</v>
      </c>
      <c r="CO58" s="33"/>
      <c r="CP58" s="33">
        <v>0</v>
      </c>
      <c r="CQ58" s="7">
        <f>CO58+CP58</f>
        <v>0</v>
      </c>
      <c r="CR58" s="7">
        <f>CK58+CM58+CO58</f>
        <v>0</v>
      </c>
      <c r="CS58" s="7">
        <f>CL58+CN58+CQ58</f>
        <v>0</v>
      </c>
      <c r="CT58" s="33">
        <v>-3707.64</v>
      </c>
      <c r="CU58" s="33"/>
      <c r="CV58" s="7">
        <f>CT58+CU58</f>
        <v>-3707.64</v>
      </c>
      <c r="CW58" s="33">
        <v>3707.64</v>
      </c>
      <c r="CX58" s="33"/>
      <c r="CY58" s="7">
        <f>CW58+CX58</f>
        <v>3707.64</v>
      </c>
      <c r="CZ58" s="33">
        <v>2574.75</v>
      </c>
      <c r="DA58" s="33">
        <v>360.46</v>
      </c>
      <c r="DB58" s="7">
        <f>CZ58+DA58</f>
        <v>2935.21</v>
      </c>
      <c r="DC58" s="33"/>
      <c r="DD58" s="7">
        <f>DC58</f>
        <v>0</v>
      </c>
      <c r="DE58" s="33"/>
      <c r="DF58" s="7">
        <f>DE58</f>
        <v>0</v>
      </c>
      <c r="DG58" s="33"/>
      <c r="DH58" s="7">
        <f>DG58</f>
        <v>0</v>
      </c>
      <c r="DI58" s="33"/>
      <c r="DJ58" s="7">
        <f>DI58</f>
        <v>0</v>
      </c>
      <c r="DK58" s="33"/>
      <c r="DL58" s="7">
        <f>DK58</f>
        <v>0</v>
      </c>
      <c r="DM58" s="33"/>
      <c r="DN58" s="7">
        <f>DM58</f>
        <v>0</v>
      </c>
      <c r="DO58" s="33"/>
      <c r="DP58" s="14">
        <f>CK58+CM58+CO58+CT58+CW58+CZ58+DC58+DE58+DG58+DI58+DK58+DM58</f>
        <v>2574.75</v>
      </c>
      <c r="DQ58" s="14">
        <f>CL58+CN58+CQ58+CV58+CY58+DB58</f>
        <v>2935.21</v>
      </c>
      <c r="DR58" s="7"/>
      <c r="DS58" s="7">
        <f>AG58-DP58</f>
        <v>3497425.25</v>
      </c>
      <c r="DT58" s="7">
        <f>AG58-DQ58</f>
        <v>3497064.79</v>
      </c>
      <c r="DU58" s="15">
        <f t="shared" si="83"/>
        <v>7.3564285714285713E-4</v>
      </c>
      <c r="DV58" s="15">
        <f t="shared" si="84"/>
        <v>8.3863142857142862E-4</v>
      </c>
      <c r="DW58" s="33">
        <v>46000000</v>
      </c>
      <c r="DX58" s="33"/>
      <c r="DY58" s="33"/>
      <c r="DZ58" s="36"/>
      <c r="EA58" s="109"/>
    </row>
    <row r="59" spans="1:131" s="1" customFormat="1" ht="30.75" x14ac:dyDescent="0.25">
      <c r="A59" s="12" t="s">
        <v>564</v>
      </c>
      <c r="B59" s="24" t="s">
        <v>62</v>
      </c>
      <c r="C59" s="8" t="s">
        <v>227</v>
      </c>
      <c r="D59" s="24" t="s">
        <v>13</v>
      </c>
      <c r="E59" s="3">
        <v>255005</v>
      </c>
      <c r="F59" s="353">
        <v>4</v>
      </c>
      <c r="G59" s="353">
        <v>36</v>
      </c>
      <c r="H59" s="353">
        <v>1516</v>
      </c>
      <c r="I59" s="9" t="s">
        <v>13</v>
      </c>
      <c r="J59" s="10" t="s">
        <v>13</v>
      </c>
      <c r="K59" s="3">
        <v>4</v>
      </c>
      <c r="L59" s="3">
        <v>36</v>
      </c>
      <c r="M59" s="45"/>
      <c r="N59" s="3" t="s">
        <v>186</v>
      </c>
      <c r="O59" s="3" t="s">
        <v>189</v>
      </c>
      <c r="P59" s="11" t="s">
        <v>187</v>
      </c>
      <c r="Q59" s="11" t="s">
        <v>187</v>
      </c>
      <c r="R59" s="11" t="s">
        <v>193</v>
      </c>
      <c r="S59" s="3" t="s">
        <v>188</v>
      </c>
      <c r="T59" s="12" t="s">
        <v>110</v>
      </c>
      <c r="U59" s="12" t="s">
        <v>222</v>
      </c>
      <c r="V59" s="12"/>
      <c r="W59" s="12" t="s">
        <v>36</v>
      </c>
      <c r="X59" s="12" t="s">
        <v>13</v>
      </c>
      <c r="Y59" s="25" t="s">
        <v>69</v>
      </c>
      <c r="Z59" s="347">
        <v>10</v>
      </c>
      <c r="AA59" s="10" t="s">
        <v>170</v>
      </c>
      <c r="AB59" s="110" t="s">
        <v>37</v>
      </c>
      <c r="AC59" s="33">
        <v>5524440</v>
      </c>
      <c r="AD59" s="33"/>
      <c r="AE59" s="7">
        <f t="shared" ref="AE59:AE64" si="86">AC59+AD59</f>
        <v>5524440</v>
      </c>
      <c r="AF59" s="33">
        <v>-1300000</v>
      </c>
      <c r="AG59" s="7">
        <f t="shared" si="24"/>
        <v>4224440</v>
      </c>
      <c r="AH59" s="33">
        <v>-2000000</v>
      </c>
      <c r="AI59" s="7">
        <f t="shared" si="25"/>
        <v>2224440</v>
      </c>
      <c r="AJ59" s="409"/>
      <c r="AK59" s="7">
        <v>7775000</v>
      </c>
      <c r="AM59" s="33">
        <f t="shared" si="28"/>
        <v>7775000</v>
      </c>
      <c r="AN59" s="33">
        <v>0</v>
      </c>
      <c r="AO59" s="33">
        <v>0</v>
      </c>
      <c r="AP59" s="7">
        <f t="shared" si="29"/>
        <v>0</v>
      </c>
      <c r="AQ59" s="33"/>
      <c r="AR59" s="33"/>
      <c r="AS59" s="7">
        <f t="shared" si="30"/>
        <v>0</v>
      </c>
      <c r="AT59" s="33">
        <v>825710.32</v>
      </c>
      <c r="AU59" s="33">
        <v>115599.44</v>
      </c>
      <c r="AV59" s="7">
        <f t="shared" si="31"/>
        <v>941309.76</v>
      </c>
      <c r="AW59" s="33"/>
      <c r="AX59" s="33"/>
      <c r="AY59" s="7">
        <f t="shared" si="1"/>
        <v>0</v>
      </c>
      <c r="AZ59" s="33"/>
      <c r="BA59" s="33"/>
      <c r="BB59" s="7">
        <f t="shared" si="32"/>
        <v>0</v>
      </c>
      <c r="BC59" s="33"/>
      <c r="BD59" s="33"/>
      <c r="BE59" s="7">
        <f t="shared" si="33"/>
        <v>0</v>
      </c>
      <c r="BF59" s="33"/>
      <c r="BG59" s="33"/>
      <c r="BH59" s="7">
        <f t="shared" si="34"/>
        <v>0</v>
      </c>
      <c r="BI59" s="33"/>
      <c r="BJ59" s="33"/>
      <c r="BK59" s="7">
        <f t="shared" si="35"/>
        <v>0</v>
      </c>
      <c r="BL59" s="33"/>
      <c r="BM59" s="33"/>
      <c r="BN59" s="7">
        <f t="shared" si="36"/>
        <v>0</v>
      </c>
      <c r="BO59" s="33"/>
      <c r="BP59" s="33"/>
      <c r="BQ59" s="7">
        <f t="shared" si="37"/>
        <v>0</v>
      </c>
      <c r="BR59" s="33"/>
      <c r="BS59" s="33"/>
      <c r="BT59" s="7">
        <f t="shared" si="38"/>
        <v>0</v>
      </c>
      <c r="BU59" s="33"/>
      <c r="BV59" s="33"/>
      <c r="BW59" s="7">
        <f t="shared" si="39"/>
        <v>0</v>
      </c>
      <c r="BX59" s="33"/>
      <c r="BY59" s="7">
        <f t="shared" si="18"/>
        <v>825710.32</v>
      </c>
      <c r="BZ59" s="7">
        <f t="shared" si="19"/>
        <v>941309.76</v>
      </c>
      <c r="CA59" s="33"/>
      <c r="CB59" s="7">
        <f t="shared" si="20"/>
        <v>6949289.6799999997</v>
      </c>
      <c r="CC59" s="7">
        <f t="shared" si="21"/>
        <v>6833690.2400000002</v>
      </c>
      <c r="CD59" s="15">
        <f t="shared" si="22"/>
        <v>0.10620068424437298</v>
      </c>
      <c r="CE59" s="15">
        <f t="shared" si="23"/>
        <v>0.12106877942122186</v>
      </c>
      <c r="CF59" s="451" t="s">
        <v>819</v>
      </c>
      <c r="CG59" s="33">
        <f>29850000-4500000</f>
        <v>25350000</v>
      </c>
      <c r="CH59" s="33">
        <v>20100000</v>
      </c>
      <c r="CI59" s="313"/>
      <c r="CJ59" s="313"/>
      <c r="CK59" s="33"/>
      <c r="CL59" s="7">
        <f t="shared" ref="CL59:CL64" si="87">CK59</f>
        <v>0</v>
      </c>
      <c r="CM59" s="33"/>
      <c r="CN59" s="7">
        <f t="shared" ref="CN59:CN64" si="88">CM59</f>
        <v>0</v>
      </c>
      <c r="CO59" s="33"/>
      <c r="CP59" s="33">
        <v>0</v>
      </c>
      <c r="CQ59" s="7">
        <f t="shared" ref="CQ59:CQ64" si="89">CO59+CP59</f>
        <v>0</v>
      </c>
      <c r="CR59" s="7">
        <f t="shared" ref="CR59:CR64" si="90">CK59+CM59+CO59</f>
        <v>0</v>
      </c>
      <c r="CS59" s="7">
        <f t="shared" ref="CS59:CS64" si="91">CL59+CN59+CQ59</f>
        <v>0</v>
      </c>
      <c r="CT59" s="33">
        <v>417514</v>
      </c>
      <c r="CU59" s="33">
        <v>58451.96</v>
      </c>
      <c r="CV59" s="7">
        <f t="shared" ref="CV59:CV64" si="92">CT59+CU59</f>
        <v>475965.96</v>
      </c>
      <c r="CW59" s="33">
        <v>168266.6</v>
      </c>
      <c r="CX59" s="33">
        <v>23557.32</v>
      </c>
      <c r="CY59" s="7">
        <f t="shared" ref="CY59:CY64" si="93">CW59+CX59</f>
        <v>191823.92</v>
      </c>
      <c r="CZ59" s="33">
        <v>13864.37</v>
      </c>
      <c r="DA59" s="33">
        <v>1941.01</v>
      </c>
      <c r="DB59" s="7">
        <f t="shared" ref="DB59:DB64" si="94">CZ59+DA59</f>
        <v>15805.380000000001</v>
      </c>
      <c r="DC59" s="33"/>
      <c r="DD59" s="7">
        <f t="shared" ref="DD59:DD64" si="95">DC59</f>
        <v>0</v>
      </c>
      <c r="DE59" s="33"/>
      <c r="DF59" s="7">
        <f t="shared" ref="DF59:DF64" si="96">DE59</f>
        <v>0</v>
      </c>
      <c r="DG59" s="33"/>
      <c r="DH59" s="7">
        <f t="shared" ref="DH59:DH64" si="97">DG59</f>
        <v>0</v>
      </c>
      <c r="DI59" s="33"/>
      <c r="DJ59" s="7">
        <f t="shared" ref="DJ59:DJ64" si="98">DI59</f>
        <v>0</v>
      </c>
      <c r="DK59" s="33"/>
      <c r="DL59" s="7">
        <f t="shared" ref="DL59:DL64" si="99">DK59</f>
        <v>0</v>
      </c>
      <c r="DM59" s="33"/>
      <c r="DN59" s="7">
        <f t="shared" ref="DN59:DN64" si="100">DM59</f>
        <v>0</v>
      </c>
      <c r="DO59" s="33"/>
      <c r="DP59" s="14">
        <f t="shared" ref="DP59:DP64" si="101">CK59+CM59+CO59+CT59+CW59+CZ59+DC59+DE59+DG59+DI59+DK59+DM59</f>
        <v>599644.97</v>
      </c>
      <c r="DQ59" s="14">
        <f t="shared" ref="DQ59:DQ64" si="102">CL59+CN59+CQ59+CV59+CY59+DB59</f>
        <v>683595.26</v>
      </c>
      <c r="DR59" s="7"/>
      <c r="DS59" s="7">
        <f t="shared" ref="DS59:DS64" si="103">AG59-DP59</f>
        <v>3624795.0300000003</v>
      </c>
      <c r="DT59" s="7">
        <f t="shared" ref="DT59:DT64" si="104">AG59-DQ59</f>
        <v>3540844.74</v>
      </c>
      <c r="DU59" s="15">
        <f t="shared" si="83"/>
        <v>0.14194661777655737</v>
      </c>
      <c r="DV59" s="15">
        <f t="shared" si="84"/>
        <v>0.16181914289231236</v>
      </c>
      <c r="DW59" s="33">
        <v>68000000</v>
      </c>
      <c r="DX59" s="33"/>
      <c r="DY59" s="33"/>
      <c r="DZ59" s="36"/>
      <c r="EA59" s="109"/>
    </row>
    <row r="60" spans="1:131" s="1" customFormat="1" x14ac:dyDescent="0.25">
      <c r="A60" s="12" t="s">
        <v>564</v>
      </c>
      <c r="B60" s="24" t="s">
        <v>62</v>
      </c>
      <c r="C60" s="8" t="s">
        <v>227</v>
      </c>
      <c r="D60" s="24"/>
      <c r="E60" s="3">
        <v>255005</v>
      </c>
      <c r="F60" s="353">
        <v>4</v>
      </c>
      <c r="G60" s="353">
        <v>35</v>
      </c>
      <c r="H60" s="353">
        <v>1508</v>
      </c>
      <c r="I60" s="9" t="s">
        <v>13</v>
      </c>
      <c r="J60" s="10" t="s">
        <v>13</v>
      </c>
      <c r="K60" s="3">
        <v>4</v>
      </c>
      <c r="L60" s="3">
        <v>35</v>
      </c>
      <c r="M60" s="45"/>
      <c r="N60" s="3" t="s">
        <v>186</v>
      </c>
      <c r="O60" s="3" t="s">
        <v>189</v>
      </c>
      <c r="P60" s="11" t="s">
        <v>187</v>
      </c>
      <c r="Q60" s="11" t="s">
        <v>187</v>
      </c>
      <c r="R60" s="11" t="s">
        <v>193</v>
      </c>
      <c r="S60" s="3" t="s">
        <v>188</v>
      </c>
      <c r="T60" s="12" t="s">
        <v>110</v>
      </c>
      <c r="U60" s="12" t="s">
        <v>222</v>
      </c>
      <c r="V60" s="12"/>
      <c r="W60" s="12" t="s">
        <v>36</v>
      </c>
      <c r="X60" s="12" t="s">
        <v>13</v>
      </c>
      <c r="Y60" s="25" t="s">
        <v>69</v>
      </c>
      <c r="Z60" s="25">
        <v>9</v>
      </c>
      <c r="AA60" s="10" t="s">
        <v>541</v>
      </c>
      <c r="AB60" s="110" t="s">
        <v>38</v>
      </c>
      <c r="AC60" s="36">
        <v>500000</v>
      </c>
      <c r="AD60" s="36"/>
      <c r="AE60" s="7">
        <f t="shared" si="86"/>
        <v>500000</v>
      </c>
      <c r="AF60" s="33"/>
      <c r="AG60" s="7">
        <f t="shared" si="24"/>
        <v>500000</v>
      </c>
      <c r="AH60" s="33">
        <v>-500000</v>
      </c>
      <c r="AI60" s="7">
        <f t="shared" si="25"/>
        <v>0</v>
      </c>
      <c r="AJ60" s="409"/>
      <c r="AK60" s="27">
        <v>2000000</v>
      </c>
      <c r="AL60" s="33">
        <v>0</v>
      </c>
      <c r="AM60" s="33">
        <f t="shared" si="28"/>
        <v>2000000</v>
      </c>
      <c r="AN60" s="36">
        <v>0</v>
      </c>
      <c r="AO60" s="36">
        <v>0</v>
      </c>
      <c r="AP60" s="7">
        <f t="shared" si="29"/>
        <v>0</v>
      </c>
      <c r="AQ60" s="36"/>
      <c r="AR60" s="36"/>
      <c r="AS60" s="7">
        <f t="shared" si="30"/>
        <v>0</v>
      </c>
      <c r="AT60" s="36"/>
      <c r="AU60" s="36"/>
      <c r="AV60" s="7">
        <f t="shared" si="31"/>
        <v>0</v>
      </c>
      <c r="AW60" s="33"/>
      <c r="AX60" s="33"/>
      <c r="AY60" s="7">
        <f t="shared" si="1"/>
        <v>0</v>
      </c>
      <c r="AZ60" s="33"/>
      <c r="BA60" s="33"/>
      <c r="BB60" s="7">
        <f t="shared" si="32"/>
        <v>0</v>
      </c>
      <c r="BC60" s="33"/>
      <c r="BD60" s="33"/>
      <c r="BE60" s="7">
        <f t="shared" si="33"/>
        <v>0</v>
      </c>
      <c r="BF60" s="33"/>
      <c r="BG60" s="33"/>
      <c r="BH60" s="7">
        <f t="shared" si="34"/>
        <v>0</v>
      </c>
      <c r="BI60" s="33"/>
      <c r="BJ60" s="33"/>
      <c r="BK60" s="7">
        <f t="shared" si="35"/>
        <v>0</v>
      </c>
      <c r="BL60" s="33"/>
      <c r="BM60" s="33"/>
      <c r="BN60" s="7">
        <f t="shared" si="36"/>
        <v>0</v>
      </c>
      <c r="BO60" s="33"/>
      <c r="BP60" s="33"/>
      <c r="BQ60" s="7">
        <f t="shared" si="37"/>
        <v>0</v>
      </c>
      <c r="BR60" s="33"/>
      <c r="BS60" s="33"/>
      <c r="BT60" s="7">
        <f t="shared" si="38"/>
        <v>0</v>
      </c>
      <c r="BU60" s="33"/>
      <c r="BV60" s="33"/>
      <c r="BW60" s="7">
        <f t="shared" si="39"/>
        <v>0</v>
      </c>
      <c r="BX60" s="33"/>
      <c r="BY60" s="7">
        <f t="shared" si="18"/>
        <v>0</v>
      </c>
      <c r="BZ60" s="7">
        <f t="shared" si="19"/>
        <v>0</v>
      </c>
      <c r="CA60" s="33"/>
      <c r="CB60" s="7">
        <f t="shared" si="20"/>
        <v>2000000</v>
      </c>
      <c r="CC60" s="7">
        <f t="shared" si="21"/>
        <v>2000000</v>
      </c>
      <c r="CD60" s="15">
        <f t="shared" si="22"/>
        <v>0</v>
      </c>
      <c r="CE60" s="15">
        <f t="shared" si="23"/>
        <v>0</v>
      </c>
      <c r="CF60" s="451" t="s">
        <v>768</v>
      </c>
      <c r="CG60" s="36">
        <v>10000000</v>
      </c>
      <c r="CH60" s="33">
        <v>20000000</v>
      </c>
      <c r="CI60" s="33">
        <v>8000000</v>
      </c>
      <c r="CJ60" s="33"/>
      <c r="CK60" s="36"/>
      <c r="CL60" s="7">
        <f t="shared" si="87"/>
        <v>0</v>
      </c>
      <c r="CM60" s="36"/>
      <c r="CN60" s="7">
        <f t="shared" si="88"/>
        <v>0</v>
      </c>
      <c r="CO60" s="36"/>
      <c r="CP60" s="36"/>
      <c r="CQ60" s="7">
        <f t="shared" si="89"/>
        <v>0</v>
      </c>
      <c r="CR60" s="7">
        <f t="shared" si="90"/>
        <v>0</v>
      </c>
      <c r="CS60" s="7">
        <f t="shared" si="91"/>
        <v>0</v>
      </c>
      <c r="CT60" s="36"/>
      <c r="CU60" s="36"/>
      <c r="CV60" s="7">
        <f t="shared" si="92"/>
        <v>0</v>
      </c>
      <c r="CW60" s="36"/>
      <c r="CX60" s="36"/>
      <c r="CY60" s="7">
        <f t="shared" si="93"/>
        <v>0</v>
      </c>
      <c r="CZ60" s="36"/>
      <c r="DA60" s="36"/>
      <c r="DB60" s="7">
        <f t="shared" si="94"/>
        <v>0</v>
      </c>
      <c r="DC60" s="36"/>
      <c r="DD60" s="7">
        <f t="shared" si="95"/>
        <v>0</v>
      </c>
      <c r="DE60" s="36"/>
      <c r="DF60" s="7">
        <f t="shared" si="96"/>
        <v>0</v>
      </c>
      <c r="DG60" s="36"/>
      <c r="DH60" s="7">
        <f t="shared" si="97"/>
        <v>0</v>
      </c>
      <c r="DI60" s="36"/>
      <c r="DJ60" s="7">
        <f t="shared" si="98"/>
        <v>0</v>
      </c>
      <c r="DK60" s="36"/>
      <c r="DL60" s="7">
        <f t="shared" si="99"/>
        <v>0</v>
      </c>
      <c r="DM60" s="36"/>
      <c r="DN60" s="7">
        <f t="shared" si="100"/>
        <v>0</v>
      </c>
      <c r="DO60" s="36"/>
      <c r="DP60" s="14">
        <f t="shared" si="101"/>
        <v>0</v>
      </c>
      <c r="DQ60" s="14">
        <f t="shared" si="102"/>
        <v>0</v>
      </c>
      <c r="DR60" s="7"/>
      <c r="DS60" s="7">
        <f t="shared" si="103"/>
        <v>500000</v>
      </c>
      <c r="DT60" s="7">
        <f t="shared" si="104"/>
        <v>500000</v>
      </c>
      <c r="DU60" s="15">
        <f t="shared" si="83"/>
        <v>0</v>
      </c>
      <c r="DV60" s="15">
        <f t="shared" si="84"/>
        <v>0</v>
      </c>
      <c r="DW60" s="291"/>
      <c r="DX60" s="291"/>
      <c r="DY60" s="33"/>
      <c r="DZ60" s="36"/>
      <c r="EA60" s="109"/>
    </row>
    <row r="61" spans="1:131" s="1" customFormat="1" x14ac:dyDescent="0.25">
      <c r="A61" s="12" t="s">
        <v>564</v>
      </c>
      <c r="B61" s="24"/>
      <c r="C61" s="8" t="s">
        <v>227</v>
      </c>
      <c r="D61" s="24"/>
      <c r="E61" s="3">
        <v>255005</v>
      </c>
      <c r="F61" s="353">
        <v>6</v>
      </c>
      <c r="G61" s="353">
        <v>35</v>
      </c>
      <c r="H61" s="353">
        <v>1509</v>
      </c>
      <c r="I61" s="9" t="s">
        <v>13</v>
      </c>
      <c r="J61" s="10" t="s">
        <v>13</v>
      </c>
      <c r="K61" s="3"/>
      <c r="L61" s="3"/>
      <c r="M61" s="45"/>
      <c r="N61" s="3" t="s">
        <v>186</v>
      </c>
      <c r="O61" s="3" t="s">
        <v>189</v>
      </c>
      <c r="P61" s="11" t="s">
        <v>187</v>
      </c>
      <c r="Q61" s="11" t="s">
        <v>187</v>
      </c>
      <c r="R61" s="11" t="s">
        <v>193</v>
      </c>
      <c r="S61" s="11" t="s">
        <v>259</v>
      </c>
      <c r="T61" s="12" t="s">
        <v>110</v>
      </c>
      <c r="U61" s="12" t="s">
        <v>222</v>
      </c>
      <c r="V61" s="12"/>
      <c r="W61" s="12" t="s">
        <v>36</v>
      </c>
      <c r="X61" s="12" t="s">
        <v>13</v>
      </c>
      <c r="Y61" s="25" t="s">
        <v>69</v>
      </c>
      <c r="Z61" s="25">
        <v>9</v>
      </c>
      <c r="AA61" s="10" t="s">
        <v>708</v>
      </c>
      <c r="AB61" s="110" t="s">
        <v>703</v>
      </c>
      <c r="AC61" s="36"/>
      <c r="AD61" s="36"/>
      <c r="AE61" s="7"/>
      <c r="AF61" s="33"/>
      <c r="AG61" s="7"/>
      <c r="AH61" s="33"/>
      <c r="AI61" s="7"/>
      <c r="AJ61" s="409"/>
      <c r="AK61" s="27"/>
      <c r="AL61" s="36">
        <v>118812</v>
      </c>
      <c r="AM61" s="33">
        <f t="shared" si="28"/>
        <v>118812</v>
      </c>
      <c r="AN61" s="36"/>
      <c r="AO61" s="36"/>
      <c r="AP61" s="7">
        <f t="shared" si="29"/>
        <v>0</v>
      </c>
      <c r="AQ61" s="36"/>
      <c r="AR61" s="36"/>
      <c r="AS61" s="7">
        <f t="shared" si="30"/>
        <v>0</v>
      </c>
      <c r="AT61" s="36"/>
      <c r="AU61" s="36"/>
      <c r="AV61" s="7">
        <f t="shared" si="31"/>
        <v>0</v>
      </c>
      <c r="AW61" s="33">
        <v>89302.5</v>
      </c>
      <c r="AX61" s="33"/>
      <c r="AY61" s="7">
        <f t="shared" si="1"/>
        <v>89302.5</v>
      </c>
      <c r="AZ61" s="33"/>
      <c r="BA61" s="33"/>
      <c r="BB61" s="7"/>
      <c r="BC61" s="33"/>
      <c r="BD61" s="33"/>
      <c r="BE61" s="7"/>
      <c r="BF61" s="33"/>
      <c r="BG61" s="33"/>
      <c r="BH61" s="7"/>
      <c r="BI61" s="33"/>
      <c r="BJ61" s="33"/>
      <c r="BK61" s="7"/>
      <c r="BL61" s="33"/>
      <c r="BM61" s="33"/>
      <c r="BN61" s="7"/>
      <c r="BO61" s="33"/>
      <c r="BP61" s="33"/>
      <c r="BQ61" s="7"/>
      <c r="BR61" s="33"/>
      <c r="BS61" s="33"/>
      <c r="BT61" s="7"/>
      <c r="BU61" s="33"/>
      <c r="BV61" s="33"/>
      <c r="BW61" s="7"/>
      <c r="BX61" s="33"/>
      <c r="BY61" s="7">
        <f t="shared" si="18"/>
        <v>89302.5</v>
      </c>
      <c r="BZ61" s="7">
        <f t="shared" si="19"/>
        <v>89302.5</v>
      </c>
      <c r="CA61" s="33"/>
      <c r="CB61" s="7">
        <f t="shared" si="20"/>
        <v>29509.5</v>
      </c>
      <c r="CC61" s="7">
        <f t="shared" si="21"/>
        <v>29509.5</v>
      </c>
      <c r="CD61" s="15">
        <f t="shared" si="22"/>
        <v>0.75162862337137659</v>
      </c>
      <c r="CE61" s="15">
        <f t="shared" si="23"/>
        <v>0.75162862337137659</v>
      </c>
      <c r="CF61" s="451" t="s">
        <v>768</v>
      </c>
      <c r="CG61" s="36"/>
      <c r="CH61" s="33"/>
      <c r="CI61" s="33"/>
      <c r="CJ61" s="33"/>
      <c r="CK61" s="36"/>
      <c r="CL61" s="7"/>
      <c r="CM61" s="36"/>
      <c r="CN61" s="7"/>
      <c r="CO61" s="36"/>
      <c r="CP61" s="36"/>
      <c r="CQ61" s="7"/>
      <c r="CR61" s="7"/>
      <c r="CS61" s="7"/>
      <c r="CT61" s="36"/>
      <c r="CU61" s="36"/>
      <c r="CV61" s="7"/>
      <c r="CW61" s="36"/>
      <c r="CX61" s="36"/>
      <c r="CY61" s="7"/>
      <c r="CZ61" s="36"/>
      <c r="DA61" s="36"/>
      <c r="DB61" s="7"/>
      <c r="DC61" s="36"/>
      <c r="DD61" s="7"/>
      <c r="DE61" s="36"/>
      <c r="DF61" s="7"/>
      <c r="DG61" s="36"/>
      <c r="DH61" s="7"/>
      <c r="DI61" s="36"/>
      <c r="DJ61" s="7"/>
      <c r="DK61" s="36"/>
      <c r="DL61" s="7"/>
      <c r="DM61" s="36"/>
      <c r="DN61" s="7"/>
      <c r="DO61" s="36"/>
      <c r="DP61" s="14"/>
      <c r="DQ61" s="14"/>
      <c r="DR61" s="7"/>
      <c r="DS61" s="7"/>
      <c r="DT61" s="7"/>
      <c r="DU61" s="15"/>
      <c r="DV61" s="15"/>
      <c r="DW61" s="291"/>
      <c r="DX61" s="291"/>
      <c r="DY61" s="33"/>
      <c r="DZ61" s="36"/>
      <c r="EA61" s="109"/>
    </row>
    <row r="62" spans="1:131" s="1" customFormat="1" x14ac:dyDescent="0.25">
      <c r="A62" s="12" t="s">
        <v>564</v>
      </c>
      <c r="B62" s="24" t="s">
        <v>62</v>
      </c>
      <c r="C62" s="8" t="s">
        <v>227</v>
      </c>
      <c r="D62" s="24" t="s">
        <v>13</v>
      </c>
      <c r="E62" s="3">
        <v>255005</v>
      </c>
      <c r="F62" s="353">
        <v>4</v>
      </c>
      <c r="G62" s="353">
        <v>36</v>
      </c>
      <c r="H62" s="353">
        <v>1517</v>
      </c>
      <c r="I62" s="9" t="s">
        <v>13</v>
      </c>
      <c r="J62" s="10" t="s">
        <v>13</v>
      </c>
      <c r="K62" s="3">
        <v>4</v>
      </c>
      <c r="L62" s="3">
        <v>36</v>
      </c>
      <c r="M62" s="45"/>
      <c r="N62" s="3" t="s">
        <v>186</v>
      </c>
      <c r="O62" s="3" t="s">
        <v>189</v>
      </c>
      <c r="P62" s="11" t="s">
        <v>187</v>
      </c>
      <c r="Q62" s="11" t="s">
        <v>187</v>
      </c>
      <c r="R62" s="11" t="s">
        <v>193</v>
      </c>
      <c r="S62" s="3" t="s">
        <v>188</v>
      </c>
      <c r="T62" s="12" t="s">
        <v>110</v>
      </c>
      <c r="U62" s="12" t="s">
        <v>222</v>
      </c>
      <c r="V62" s="12"/>
      <c r="W62" s="12" t="s">
        <v>36</v>
      </c>
      <c r="X62" s="12" t="s">
        <v>13</v>
      </c>
      <c r="Y62" s="25" t="s">
        <v>69</v>
      </c>
      <c r="Z62" s="347">
        <v>31</v>
      </c>
      <c r="AA62" s="10" t="s">
        <v>542</v>
      </c>
      <c r="AB62" s="110" t="s">
        <v>37</v>
      </c>
      <c r="AC62" s="33">
        <v>10000000</v>
      </c>
      <c r="AD62" s="33"/>
      <c r="AE62" s="7">
        <f t="shared" si="86"/>
        <v>10000000</v>
      </c>
      <c r="AF62" s="33">
        <v>4000000</v>
      </c>
      <c r="AG62" s="7">
        <f t="shared" si="24"/>
        <v>14000000</v>
      </c>
      <c r="AH62" s="33"/>
      <c r="AI62" s="7">
        <f t="shared" si="25"/>
        <v>14000000</v>
      </c>
      <c r="AJ62" s="409"/>
      <c r="AK62" s="7">
        <v>2000000</v>
      </c>
      <c r="AL62" s="33">
        <v>180000</v>
      </c>
      <c r="AM62" s="33">
        <f t="shared" si="28"/>
        <v>2180000</v>
      </c>
      <c r="AN62" s="33">
        <v>82100.88</v>
      </c>
      <c r="AO62" s="33">
        <v>11494.12</v>
      </c>
      <c r="AP62" s="7">
        <f t="shared" si="29"/>
        <v>93595</v>
      </c>
      <c r="AQ62" s="33">
        <v>126676.4</v>
      </c>
      <c r="AR62" s="33">
        <v>17734.7</v>
      </c>
      <c r="AS62" s="7">
        <f t="shared" si="30"/>
        <v>144411.1</v>
      </c>
      <c r="AT62" s="33">
        <v>1347611.08</v>
      </c>
      <c r="AU62" s="33">
        <v>11494.12</v>
      </c>
      <c r="AV62" s="7">
        <f t="shared" si="31"/>
        <v>1359105.2000000002</v>
      </c>
      <c r="AW62" s="33">
        <v>135369.1</v>
      </c>
      <c r="AX62" s="33">
        <v>11494.12</v>
      </c>
      <c r="AY62" s="7">
        <f t="shared" si="1"/>
        <v>146863.22</v>
      </c>
      <c r="AZ62" s="33"/>
      <c r="BA62" s="33"/>
      <c r="BB62" s="7">
        <f t="shared" si="32"/>
        <v>0</v>
      </c>
      <c r="BC62" s="33"/>
      <c r="BD62" s="33"/>
      <c r="BE62" s="7">
        <f t="shared" si="33"/>
        <v>0</v>
      </c>
      <c r="BF62" s="33"/>
      <c r="BG62" s="33"/>
      <c r="BH62" s="7">
        <f t="shared" si="34"/>
        <v>0</v>
      </c>
      <c r="BI62" s="33"/>
      <c r="BJ62" s="33"/>
      <c r="BK62" s="7">
        <f t="shared" si="35"/>
        <v>0</v>
      </c>
      <c r="BL62" s="33"/>
      <c r="BM62" s="33"/>
      <c r="BN62" s="7">
        <f t="shared" si="36"/>
        <v>0</v>
      </c>
      <c r="BO62" s="33"/>
      <c r="BP62" s="33"/>
      <c r="BQ62" s="7">
        <f t="shared" si="37"/>
        <v>0</v>
      </c>
      <c r="BR62" s="33"/>
      <c r="BS62" s="33"/>
      <c r="BT62" s="7">
        <f t="shared" si="38"/>
        <v>0</v>
      </c>
      <c r="BU62" s="33"/>
      <c r="BV62" s="33"/>
      <c r="BW62" s="7">
        <f t="shared" si="39"/>
        <v>0</v>
      </c>
      <c r="BX62" s="33"/>
      <c r="BY62" s="7">
        <f t="shared" si="18"/>
        <v>1691757.4600000002</v>
      </c>
      <c r="BZ62" s="7">
        <f t="shared" si="19"/>
        <v>1743974.5200000003</v>
      </c>
      <c r="CA62" s="33"/>
      <c r="CB62" s="7">
        <f t="shared" si="20"/>
        <v>488242.5399999998</v>
      </c>
      <c r="CC62" s="7">
        <f t="shared" si="21"/>
        <v>436025.47999999975</v>
      </c>
      <c r="CD62" s="15">
        <f t="shared" si="22"/>
        <v>0.7760355321100918</v>
      </c>
      <c r="CE62" s="15">
        <f t="shared" si="23"/>
        <v>0.79998831192660558</v>
      </c>
      <c r="CF62" s="451" t="s">
        <v>873</v>
      </c>
      <c r="CG62" s="33">
        <v>100000</v>
      </c>
      <c r="CH62" s="33">
        <v>0</v>
      </c>
      <c r="CI62" s="33"/>
      <c r="CJ62" s="33"/>
      <c r="CK62" s="33"/>
      <c r="CL62" s="7">
        <f t="shared" si="87"/>
        <v>0</v>
      </c>
      <c r="CM62" s="33"/>
      <c r="CN62" s="7">
        <f t="shared" si="88"/>
        <v>0</v>
      </c>
      <c r="CO62" s="33">
        <v>312750</v>
      </c>
      <c r="CP62" s="33"/>
      <c r="CQ62" s="7">
        <f t="shared" si="89"/>
        <v>312750</v>
      </c>
      <c r="CR62" s="7">
        <f t="shared" si="90"/>
        <v>312750</v>
      </c>
      <c r="CS62" s="7">
        <f t="shared" si="91"/>
        <v>312750</v>
      </c>
      <c r="CT62" s="33">
        <v>34750</v>
      </c>
      <c r="CU62" s="33">
        <v>43785</v>
      </c>
      <c r="CV62" s="7">
        <f t="shared" si="92"/>
        <v>78535</v>
      </c>
      <c r="CW62" s="33">
        <v>793348.34</v>
      </c>
      <c r="CX62" s="33">
        <v>107369.96</v>
      </c>
      <c r="CY62" s="7">
        <f t="shared" si="93"/>
        <v>900718.29999999993</v>
      </c>
      <c r="CZ62" s="33">
        <v>439562.11</v>
      </c>
      <c r="DA62" s="33">
        <v>61538.7</v>
      </c>
      <c r="DB62" s="7">
        <f t="shared" si="94"/>
        <v>501100.81</v>
      </c>
      <c r="DC62" s="33"/>
      <c r="DD62" s="7">
        <f t="shared" si="95"/>
        <v>0</v>
      </c>
      <c r="DE62" s="33"/>
      <c r="DF62" s="7">
        <f t="shared" si="96"/>
        <v>0</v>
      </c>
      <c r="DG62" s="33"/>
      <c r="DH62" s="7">
        <f t="shared" si="97"/>
        <v>0</v>
      </c>
      <c r="DI62" s="33"/>
      <c r="DJ62" s="7">
        <f t="shared" si="98"/>
        <v>0</v>
      </c>
      <c r="DK62" s="33"/>
      <c r="DL62" s="7">
        <f t="shared" si="99"/>
        <v>0</v>
      </c>
      <c r="DM62" s="33"/>
      <c r="DN62" s="7">
        <f t="shared" si="100"/>
        <v>0</v>
      </c>
      <c r="DO62" s="33"/>
      <c r="DP62" s="14">
        <f t="shared" si="101"/>
        <v>1580410.4499999997</v>
      </c>
      <c r="DQ62" s="14">
        <f t="shared" si="102"/>
        <v>1793104.1099999999</v>
      </c>
      <c r="DR62" s="7"/>
      <c r="DS62" s="7">
        <f t="shared" si="103"/>
        <v>12419589.550000001</v>
      </c>
      <c r="DT62" s="7">
        <f t="shared" si="104"/>
        <v>12206895.890000001</v>
      </c>
      <c r="DU62" s="15">
        <f t="shared" si="83"/>
        <v>0.11288646071428569</v>
      </c>
      <c r="DV62" s="15">
        <f t="shared" si="84"/>
        <v>0.12807886499999999</v>
      </c>
      <c r="DW62" s="33"/>
      <c r="DX62" s="33"/>
      <c r="DY62" s="33"/>
      <c r="DZ62" s="36"/>
      <c r="EA62" s="109"/>
    </row>
    <row r="63" spans="1:131" s="1" customFormat="1" hidden="1" x14ac:dyDescent="0.25">
      <c r="A63" s="12" t="s">
        <v>564</v>
      </c>
      <c r="B63" s="24" t="s">
        <v>62</v>
      </c>
      <c r="C63" s="8" t="s">
        <v>227</v>
      </c>
      <c r="D63" s="24" t="s">
        <v>13</v>
      </c>
      <c r="E63" s="3">
        <v>255005</v>
      </c>
      <c r="F63" s="353">
        <v>4</v>
      </c>
      <c r="G63" s="353">
        <v>36</v>
      </c>
      <c r="H63" s="353">
        <v>1518</v>
      </c>
      <c r="I63" s="9" t="s">
        <v>13</v>
      </c>
      <c r="J63" s="10" t="s">
        <v>13</v>
      </c>
      <c r="K63" s="3">
        <v>4</v>
      </c>
      <c r="L63" s="3">
        <v>36</v>
      </c>
      <c r="M63" s="45"/>
      <c r="N63" s="3" t="s">
        <v>186</v>
      </c>
      <c r="O63" s="3" t="s">
        <v>189</v>
      </c>
      <c r="P63" s="11" t="s">
        <v>187</v>
      </c>
      <c r="Q63" s="11" t="s">
        <v>187</v>
      </c>
      <c r="R63" s="11" t="s">
        <v>193</v>
      </c>
      <c r="S63" s="3" t="s">
        <v>188</v>
      </c>
      <c r="T63" s="12" t="s">
        <v>110</v>
      </c>
      <c r="U63" s="12" t="s">
        <v>222</v>
      </c>
      <c r="V63" s="12"/>
      <c r="W63" s="12" t="s">
        <v>36</v>
      </c>
      <c r="X63" s="12" t="s">
        <v>13</v>
      </c>
      <c r="Y63" s="25" t="s">
        <v>69</v>
      </c>
      <c r="Z63" s="25">
        <v>43</v>
      </c>
      <c r="AA63" s="10" t="s">
        <v>543</v>
      </c>
      <c r="AB63" s="110" t="s">
        <v>37</v>
      </c>
      <c r="AC63" s="33">
        <v>200000</v>
      </c>
      <c r="AD63" s="33"/>
      <c r="AE63" s="7">
        <f t="shared" si="86"/>
        <v>200000</v>
      </c>
      <c r="AF63" s="33">
        <v>0</v>
      </c>
      <c r="AG63" s="7">
        <f t="shared" si="24"/>
        <v>200000</v>
      </c>
      <c r="AH63" s="33"/>
      <c r="AI63" s="7">
        <f t="shared" si="25"/>
        <v>200000</v>
      </c>
      <c r="AJ63" s="409"/>
      <c r="AK63" s="7">
        <v>0</v>
      </c>
      <c r="AL63" s="33"/>
      <c r="AM63" s="33">
        <f t="shared" si="28"/>
        <v>0</v>
      </c>
      <c r="AN63" s="33"/>
      <c r="AO63" s="33"/>
      <c r="AP63" s="7">
        <f t="shared" si="29"/>
        <v>0</v>
      </c>
      <c r="AQ63" s="33"/>
      <c r="AR63" s="33"/>
      <c r="AS63" s="7">
        <f t="shared" si="30"/>
        <v>0</v>
      </c>
      <c r="AT63" s="33"/>
      <c r="AU63" s="33"/>
      <c r="AV63" s="7">
        <f t="shared" si="31"/>
        <v>0</v>
      </c>
      <c r="AW63" s="33"/>
      <c r="AX63" s="33"/>
      <c r="AY63" s="7">
        <f t="shared" si="1"/>
        <v>0</v>
      </c>
      <c r="AZ63" s="33"/>
      <c r="BA63" s="33"/>
      <c r="BB63" s="7">
        <f t="shared" si="32"/>
        <v>0</v>
      </c>
      <c r="BC63" s="33"/>
      <c r="BD63" s="33"/>
      <c r="BE63" s="7">
        <f t="shared" si="33"/>
        <v>0</v>
      </c>
      <c r="BF63" s="33"/>
      <c r="BG63" s="33"/>
      <c r="BH63" s="7">
        <f t="shared" si="34"/>
        <v>0</v>
      </c>
      <c r="BI63" s="33"/>
      <c r="BJ63" s="33"/>
      <c r="BK63" s="7">
        <f t="shared" si="35"/>
        <v>0</v>
      </c>
      <c r="BL63" s="33"/>
      <c r="BM63" s="33"/>
      <c r="BN63" s="7">
        <f t="shared" si="36"/>
        <v>0</v>
      </c>
      <c r="BO63" s="33"/>
      <c r="BP63" s="33"/>
      <c r="BQ63" s="7">
        <f t="shared" si="37"/>
        <v>0</v>
      </c>
      <c r="BR63" s="33"/>
      <c r="BS63" s="33"/>
      <c r="BT63" s="7">
        <f t="shared" si="38"/>
        <v>0</v>
      </c>
      <c r="BU63" s="33"/>
      <c r="BV63" s="33"/>
      <c r="BW63" s="7">
        <f t="shared" si="39"/>
        <v>0</v>
      </c>
      <c r="BX63" s="33"/>
      <c r="BY63" s="7">
        <f t="shared" si="18"/>
        <v>0</v>
      </c>
      <c r="BZ63" s="7">
        <f t="shared" si="19"/>
        <v>0</v>
      </c>
      <c r="CA63" s="33"/>
      <c r="CB63" s="7">
        <f t="shared" si="20"/>
        <v>0</v>
      </c>
      <c r="CC63" s="7">
        <f t="shared" si="21"/>
        <v>0</v>
      </c>
      <c r="CD63" s="15" t="e">
        <f t="shared" si="22"/>
        <v>#DIV/0!</v>
      </c>
      <c r="CE63" s="15" t="e">
        <f t="shared" si="23"/>
        <v>#DIV/0!</v>
      </c>
      <c r="CF63" s="451"/>
      <c r="CG63" s="33">
        <v>0</v>
      </c>
      <c r="CH63" s="33">
        <v>100000</v>
      </c>
      <c r="CI63" s="33"/>
      <c r="CJ63" s="33"/>
      <c r="CK63" s="33"/>
      <c r="CL63" s="7">
        <f t="shared" si="87"/>
        <v>0</v>
      </c>
      <c r="CM63" s="33"/>
      <c r="CN63" s="7">
        <f t="shared" si="88"/>
        <v>0</v>
      </c>
      <c r="CO63" s="33"/>
      <c r="CP63" s="33">
        <v>0</v>
      </c>
      <c r="CQ63" s="7">
        <f t="shared" si="89"/>
        <v>0</v>
      </c>
      <c r="CR63" s="7">
        <f t="shared" si="90"/>
        <v>0</v>
      </c>
      <c r="CS63" s="7">
        <f t="shared" si="91"/>
        <v>0</v>
      </c>
      <c r="CT63" s="33"/>
      <c r="CU63" s="33"/>
      <c r="CV63" s="7">
        <f t="shared" si="92"/>
        <v>0</v>
      </c>
      <c r="CW63" s="33"/>
      <c r="CX63" s="33"/>
      <c r="CY63" s="7">
        <f t="shared" si="93"/>
        <v>0</v>
      </c>
      <c r="CZ63" s="33"/>
      <c r="DA63" s="33"/>
      <c r="DB63" s="7">
        <f t="shared" si="94"/>
        <v>0</v>
      </c>
      <c r="DC63" s="33"/>
      <c r="DD63" s="7">
        <f t="shared" si="95"/>
        <v>0</v>
      </c>
      <c r="DE63" s="33"/>
      <c r="DF63" s="7">
        <f t="shared" si="96"/>
        <v>0</v>
      </c>
      <c r="DG63" s="33"/>
      <c r="DH63" s="7">
        <f t="shared" si="97"/>
        <v>0</v>
      </c>
      <c r="DI63" s="33"/>
      <c r="DJ63" s="7">
        <f t="shared" si="98"/>
        <v>0</v>
      </c>
      <c r="DK63" s="33"/>
      <c r="DL63" s="7">
        <f t="shared" si="99"/>
        <v>0</v>
      </c>
      <c r="DM63" s="33"/>
      <c r="DN63" s="7">
        <f t="shared" si="100"/>
        <v>0</v>
      </c>
      <c r="DO63" s="33"/>
      <c r="DP63" s="14">
        <f t="shared" si="101"/>
        <v>0</v>
      </c>
      <c r="DQ63" s="14">
        <f t="shared" si="102"/>
        <v>0</v>
      </c>
      <c r="DR63" s="7"/>
      <c r="DS63" s="7">
        <f t="shared" si="103"/>
        <v>200000</v>
      </c>
      <c r="DT63" s="7">
        <f t="shared" si="104"/>
        <v>200000</v>
      </c>
      <c r="DU63" s="15">
        <f t="shared" si="83"/>
        <v>0</v>
      </c>
      <c r="DV63" s="15">
        <f t="shared" si="84"/>
        <v>0</v>
      </c>
      <c r="DW63" s="33"/>
      <c r="DX63" s="33"/>
      <c r="DY63" s="33"/>
      <c r="DZ63" s="36"/>
      <c r="EA63" s="109"/>
    </row>
    <row r="64" spans="1:131" s="1" customFormat="1" ht="30.75" x14ac:dyDescent="0.25">
      <c r="A64" s="12" t="s">
        <v>564</v>
      </c>
      <c r="B64" s="24" t="s">
        <v>62</v>
      </c>
      <c r="C64" s="8" t="s">
        <v>227</v>
      </c>
      <c r="D64" s="24" t="s">
        <v>13</v>
      </c>
      <c r="E64" s="3">
        <v>255005</v>
      </c>
      <c r="F64" s="353">
        <v>4</v>
      </c>
      <c r="G64" s="353">
        <v>36</v>
      </c>
      <c r="H64" s="353">
        <v>1519</v>
      </c>
      <c r="I64" s="9" t="s">
        <v>13</v>
      </c>
      <c r="J64" s="10" t="s">
        <v>13</v>
      </c>
      <c r="K64" s="3">
        <v>4</v>
      </c>
      <c r="L64" s="3">
        <v>36</v>
      </c>
      <c r="M64" s="45"/>
      <c r="N64" s="3" t="s">
        <v>186</v>
      </c>
      <c r="O64" s="3" t="s">
        <v>189</v>
      </c>
      <c r="P64" s="11" t="s">
        <v>187</v>
      </c>
      <c r="Q64" s="11" t="s">
        <v>187</v>
      </c>
      <c r="R64" s="11" t="s">
        <v>193</v>
      </c>
      <c r="S64" s="3" t="s">
        <v>188</v>
      </c>
      <c r="T64" s="12" t="s">
        <v>110</v>
      </c>
      <c r="U64" s="12" t="s">
        <v>222</v>
      </c>
      <c r="V64" s="12"/>
      <c r="W64" s="12" t="s">
        <v>36</v>
      </c>
      <c r="X64" s="12" t="s">
        <v>13</v>
      </c>
      <c r="Y64" s="25" t="s">
        <v>69</v>
      </c>
      <c r="Z64" s="25">
        <v>46</v>
      </c>
      <c r="AA64" s="10" t="s">
        <v>544</v>
      </c>
      <c r="AB64" s="110" t="s">
        <v>37</v>
      </c>
      <c r="AC64" s="33">
        <v>2000000</v>
      </c>
      <c r="AD64" s="33"/>
      <c r="AE64" s="7">
        <f t="shared" si="86"/>
        <v>2000000</v>
      </c>
      <c r="AF64" s="33">
        <v>0</v>
      </c>
      <c r="AG64" s="7">
        <f t="shared" si="24"/>
        <v>2000000</v>
      </c>
      <c r="AH64" s="33"/>
      <c r="AI64" s="7">
        <f t="shared" si="25"/>
        <v>2000000</v>
      </c>
      <c r="AJ64" s="409"/>
      <c r="AK64" s="7">
        <v>3547208</v>
      </c>
      <c r="AL64" s="33"/>
      <c r="AM64" s="33">
        <f t="shared" si="28"/>
        <v>3547208</v>
      </c>
      <c r="AN64" s="33">
        <v>0</v>
      </c>
      <c r="AO64" s="33">
        <v>0</v>
      </c>
      <c r="AP64" s="7">
        <f t="shared" si="29"/>
        <v>0</v>
      </c>
      <c r="AQ64" s="33">
        <v>1372549.25</v>
      </c>
      <c r="AR64" s="33">
        <v>192156.89</v>
      </c>
      <c r="AS64" s="7">
        <f t="shared" si="30"/>
        <v>1564706.1400000001</v>
      </c>
      <c r="AT64" s="33">
        <v>409895.51</v>
      </c>
      <c r="AU64" s="33">
        <v>57385.38</v>
      </c>
      <c r="AV64" s="7">
        <f t="shared" si="31"/>
        <v>467280.89</v>
      </c>
      <c r="AW64" s="33"/>
      <c r="AX64" s="33"/>
      <c r="AY64" s="7">
        <f t="shared" si="1"/>
        <v>0</v>
      </c>
      <c r="AZ64" s="33"/>
      <c r="BA64" s="33"/>
      <c r="BB64" s="7">
        <f t="shared" si="32"/>
        <v>0</v>
      </c>
      <c r="BC64" s="33"/>
      <c r="BD64" s="33"/>
      <c r="BE64" s="7">
        <f t="shared" si="33"/>
        <v>0</v>
      </c>
      <c r="BF64" s="33"/>
      <c r="BG64" s="33"/>
      <c r="BH64" s="7">
        <f t="shared" si="34"/>
        <v>0</v>
      </c>
      <c r="BI64" s="33"/>
      <c r="BJ64" s="33"/>
      <c r="BK64" s="7">
        <f t="shared" si="35"/>
        <v>0</v>
      </c>
      <c r="BL64" s="33"/>
      <c r="BM64" s="33"/>
      <c r="BN64" s="7">
        <f t="shared" si="36"/>
        <v>0</v>
      </c>
      <c r="BO64" s="33"/>
      <c r="BP64" s="33"/>
      <c r="BQ64" s="7">
        <f t="shared" si="37"/>
        <v>0</v>
      </c>
      <c r="BR64" s="33"/>
      <c r="BS64" s="33"/>
      <c r="BT64" s="7">
        <f t="shared" si="38"/>
        <v>0</v>
      </c>
      <c r="BU64" s="33"/>
      <c r="BV64" s="33"/>
      <c r="BW64" s="7">
        <f t="shared" si="39"/>
        <v>0</v>
      </c>
      <c r="BX64" s="33"/>
      <c r="BY64" s="7">
        <f t="shared" si="18"/>
        <v>1782444.76</v>
      </c>
      <c r="BZ64" s="7">
        <f t="shared" si="19"/>
        <v>2031987.0300000003</v>
      </c>
      <c r="CA64" s="33"/>
      <c r="CB64" s="7">
        <f t="shared" si="20"/>
        <v>1764763.24</v>
      </c>
      <c r="CC64" s="7">
        <f t="shared" si="21"/>
        <v>1515220.9699999997</v>
      </c>
      <c r="CD64" s="15">
        <f t="shared" si="22"/>
        <v>0.50249231508273551</v>
      </c>
      <c r="CE64" s="15">
        <f t="shared" si="23"/>
        <v>0.57284124020920124</v>
      </c>
      <c r="CF64" s="451" t="s">
        <v>820</v>
      </c>
      <c r="CG64" s="33">
        <v>16000000</v>
      </c>
      <c r="CH64" s="33">
        <v>15000000</v>
      </c>
      <c r="CI64" s="33"/>
      <c r="CJ64" s="33"/>
      <c r="CK64" s="33"/>
      <c r="CL64" s="7">
        <f t="shared" si="87"/>
        <v>0</v>
      </c>
      <c r="CM64" s="33"/>
      <c r="CN64" s="7">
        <f t="shared" si="88"/>
        <v>0</v>
      </c>
      <c r="CO64" s="33"/>
      <c r="CP64" s="33">
        <v>0</v>
      </c>
      <c r="CQ64" s="7">
        <f t="shared" si="89"/>
        <v>0</v>
      </c>
      <c r="CR64" s="7">
        <f t="shared" si="90"/>
        <v>0</v>
      </c>
      <c r="CS64" s="7">
        <f t="shared" si="91"/>
        <v>0</v>
      </c>
      <c r="CT64" s="33"/>
      <c r="CU64" s="33"/>
      <c r="CV64" s="7">
        <f t="shared" si="92"/>
        <v>0</v>
      </c>
      <c r="CW64" s="33"/>
      <c r="CX64" s="33"/>
      <c r="CY64" s="7">
        <f t="shared" si="93"/>
        <v>0</v>
      </c>
      <c r="CZ64" s="33"/>
      <c r="DA64" s="33"/>
      <c r="DB64" s="7">
        <f t="shared" si="94"/>
        <v>0</v>
      </c>
      <c r="DC64" s="33"/>
      <c r="DD64" s="7">
        <f t="shared" si="95"/>
        <v>0</v>
      </c>
      <c r="DE64" s="33"/>
      <c r="DF64" s="7">
        <f t="shared" si="96"/>
        <v>0</v>
      </c>
      <c r="DG64" s="33"/>
      <c r="DH64" s="7">
        <f t="shared" si="97"/>
        <v>0</v>
      </c>
      <c r="DI64" s="33"/>
      <c r="DJ64" s="7">
        <f t="shared" si="98"/>
        <v>0</v>
      </c>
      <c r="DK64" s="33"/>
      <c r="DL64" s="7">
        <f t="shared" si="99"/>
        <v>0</v>
      </c>
      <c r="DM64" s="33"/>
      <c r="DN64" s="7">
        <f t="shared" si="100"/>
        <v>0</v>
      </c>
      <c r="DO64" s="33"/>
      <c r="DP64" s="14">
        <f t="shared" si="101"/>
        <v>0</v>
      </c>
      <c r="DQ64" s="14">
        <f t="shared" si="102"/>
        <v>0</v>
      </c>
      <c r="DR64" s="7"/>
      <c r="DS64" s="7">
        <f t="shared" si="103"/>
        <v>2000000</v>
      </c>
      <c r="DT64" s="7">
        <f t="shared" si="104"/>
        <v>2000000</v>
      </c>
      <c r="DU64" s="15">
        <f t="shared" si="83"/>
        <v>0</v>
      </c>
      <c r="DV64" s="15">
        <f t="shared" si="84"/>
        <v>0</v>
      </c>
      <c r="DW64" s="33">
        <f>70000000+70000000</f>
        <v>140000000</v>
      </c>
      <c r="DX64" s="33"/>
      <c r="DY64" s="33" t="s">
        <v>435</v>
      </c>
      <c r="DZ64" s="36"/>
      <c r="EA64" s="109"/>
    </row>
    <row r="65" spans="1:131" s="1" customFormat="1" ht="30.75" x14ac:dyDescent="0.25">
      <c r="A65" s="12" t="s">
        <v>564</v>
      </c>
      <c r="B65" s="24" t="s">
        <v>62</v>
      </c>
      <c r="C65" s="8" t="s">
        <v>227</v>
      </c>
      <c r="D65" s="24"/>
      <c r="E65" s="3">
        <v>255005</v>
      </c>
      <c r="F65" s="353">
        <v>6</v>
      </c>
      <c r="G65" s="353">
        <v>35</v>
      </c>
      <c r="H65" s="353">
        <v>1507</v>
      </c>
      <c r="I65" s="9" t="s">
        <v>13</v>
      </c>
      <c r="J65" s="10" t="s">
        <v>13</v>
      </c>
      <c r="K65" s="3"/>
      <c r="L65" s="3"/>
      <c r="M65" s="45"/>
      <c r="N65" s="3" t="s">
        <v>186</v>
      </c>
      <c r="O65" s="3" t="s">
        <v>189</v>
      </c>
      <c r="P65" s="11" t="s">
        <v>187</v>
      </c>
      <c r="Q65" s="11" t="s">
        <v>187</v>
      </c>
      <c r="R65" s="11" t="s">
        <v>193</v>
      </c>
      <c r="S65" s="11" t="s">
        <v>259</v>
      </c>
      <c r="T65" s="12" t="s">
        <v>110</v>
      </c>
      <c r="U65" s="12" t="s">
        <v>222</v>
      </c>
      <c r="V65" s="12"/>
      <c r="W65" s="12" t="s">
        <v>36</v>
      </c>
      <c r="X65" s="12" t="s">
        <v>13</v>
      </c>
      <c r="Y65" s="25" t="s">
        <v>69</v>
      </c>
      <c r="Z65" s="25" t="s">
        <v>142</v>
      </c>
      <c r="AA65" s="10" t="s">
        <v>167</v>
      </c>
      <c r="AB65" s="110" t="s">
        <v>703</v>
      </c>
      <c r="AC65" s="33"/>
      <c r="AD65" s="33"/>
      <c r="AE65" s="7"/>
      <c r="AF65" s="33"/>
      <c r="AG65" s="7"/>
      <c r="AH65" s="33"/>
      <c r="AI65" s="7"/>
      <c r="AJ65" s="409"/>
      <c r="AK65" s="7"/>
      <c r="AL65" s="33">
        <v>273172</v>
      </c>
      <c r="AM65" s="33">
        <f t="shared" si="28"/>
        <v>273172</v>
      </c>
      <c r="AN65" s="33"/>
      <c r="AO65" s="33"/>
      <c r="AP65" s="7">
        <f t="shared" si="29"/>
        <v>0</v>
      </c>
      <c r="AQ65" s="33"/>
      <c r="AR65" s="33"/>
      <c r="AS65" s="7">
        <f t="shared" si="30"/>
        <v>0</v>
      </c>
      <c r="AT65" s="33"/>
      <c r="AU65" s="33"/>
      <c r="AV65" s="7">
        <f t="shared" si="31"/>
        <v>0</v>
      </c>
      <c r="AW65" s="33"/>
      <c r="AX65" s="33"/>
      <c r="AY65" s="7">
        <f t="shared" si="1"/>
        <v>0</v>
      </c>
      <c r="AZ65" s="33"/>
      <c r="BA65" s="33"/>
      <c r="BB65" s="7"/>
      <c r="BC65" s="33"/>
      <c r="BD65" s="33"/>
      <c r="BE65" s="7"/>
      <c r="BF65" s="33"/>
      <c r="BG65" s="33"/>
      <c r="BH65" s="7"/>
      <c r="BI65" s="33"/>
      <c r="BJ65" s="33"/>
      <c r="BK65" s="7"/>
      <c r="BL65" s="33"/>
      <c r="BM65" s="33"/>
      <c r="BN65" s="7"/>
      <c r="BO65" s="33"/>
      <c r="BP65" s="33"/>
      <c r="BQ65" s="7"/>
      <c r="BR65" s="33"/>
      <c r="BS65" s="33"/>
      <c r="BT65" s="7"/>
      <c r="BU65" s="33"/>
      <c r="BV65" s="33"/>
      <c r="BW65" s="7"/>
      <c r="BX65" s="33"/>
      <c r="BY65" s="7">
        <f t="shared" si="18"/>
        <v>0</v>
      </c>
      <c r="BZ65" s="7">
        <f t="shared" si="19"/>
        <v>0</v>
      </c>
      <c r="CA65" s="33"/>
      <c r="CB65" s="7">
        <f t="shared" si="20"/>
        <v>273172</v>
      </c>
      <c r="CC65" s="7">
        <f t="shared" si="21"/>
        <v>273172</v>
      </c>
      <c r="CD65" s="15">
        <f t="shared" si="22"/>
        <v>0</v>
      </c>
      <c r="CE65" s="15">
        <f t="shared" si="23"/>
        <v>0</v>
      </c>
      <c r="CF65" s="451" t="s">
        <v>874</v>
      </c>
      <c r="CG65" s="33"/>
      <c r="CH65" s="33"/>
      <c r="CI65" s="33"/>
      <c r="CJ65" s="33"/>
      <c r="CK65" s="33"/>
      <c r="CL65" s="7"/>
      <c r="CM65" s="33"/>
      <c r="CN65" s="7"/>
      <c r="CO65" s="33"/>
      <c r="CP65" s="33"/>
      <c r="CQ65" s="7"/>
      <c r="CR65" s="7"/>
      <c r="CS65" s="7"/>
      <c r="CT65" s="33"/>
      <c r="CU65" s="33"/>
      <c r="CV65" s="7"/>
      <c r="CW65" s="33"/>
      <c r="CX65" s="33"/>
      <c r="CY65" s="7"/>
      <c r="CZ65" s="33"/>
      <c r="DA65" s="33"/>
      <c r="DB65" s="7"/>
      <c r="DC65" s="33"/>
      <c r="DD65" s="7"/>
      <c r="DE65" s="33"/>
      <c r="DF65" s="7"/>
      <c r="DG65" s="33"/>
      <c r="DH65" s="7"/>
      <c r="DI65" s="33"/>
      <c r="DJ65" s="7"/>
      <c r="DK65" s="33"/>
      <c r="DL65" s="7"/>
      <c r="DM65" s="33"/>
      <c r="DN65" s="7"/>
      <c r="DO65" s="33"/>
      <c r="DP65" s="14"/>
      <c r="DQ65" s="14"/>
      <c r="DR65" s="7"/>
      <c r="DS65" s="7"/>
      <c r="DT65" s="7"/>
      <c r="DU65" s="15"/>
      <c r="DV65" s="15"/>
      <c r="DW65" s="33"/>
      <c r="DX65" s="33"/>
      <c r="DY65" s="33"/>
      <c r="DZ65" s="36"/>
      <c r="EA65" s="109"/>
    </row>
    <row r="66" spans="1:131" s="1" customFormat="1" ht="30.75" x14ac:dyDescent="0.25">
      <c r="A66" s="12" t="s">
        <v>564</v>
      </c>
      <c r="B66" s="24" t="s">
        <v>62</v>
      </c>
      <c r="C66" s="8" t="s">
        <v>227</v>
      </c>
      <c r="D66" s="24"/>
      <c r="E66" s="3">
        <v>255005</v>
      </c>
      <c r="F66" s="353">
        <v>4</v>
      </c>
      <c r="G66" s="353">
        <v>35</v>
      </c>
      <c r="H66" s="353">
        <v>1509</v>
      </c>
      <c r="I66" s="9" t="s">
        <v>13</v>
      </c>
      <c r="J66" s="10" t="s">
        <v>13</v>
      </c>
      <c r="K66" s="3">
        <v>4</v>
      </c>
      <c r="L66" s="3">
        <v>35</v>
      </c>
      <c r="M66" s="45"/>
      <c r="N66" s="3" t="s">
        <v>186</v>
      </c>
      <c r="O66" s="3" t="s">
        <v>189</v>
      </c>
      <c r="P66" s="11" t="s">
        <v>187</v>
      </c>
      <c r="Q66" s="11" t="s">
        <v>187</v>
      </c>
      <c r="R66" s="11" t="s">
        <v>193</v>
      </c>
      <c r="S66" s="3" t="s">
        <v>188</v>
      </c>
      <c r="T66" s="12" t="s">
        <v>110</v>
      </c>
      <c r="U66" s="12" t="s">
        <v>222</v>
      </c>
      <c r="V66" s="12"/>
      <c r="W66" s="12" t="s">
        <v>36</v>
      </c>
      <c r="X66" s="12" t="s">
        <v>13</v>
      </c>
      <c r="Y66" s="25" t="s">
        <v>69</v>
      </c>
      <c r="Z66" s="25" t="s">
        <v>142</v>
      </c>
      <c r="AA66" s="10" t="s">
        <v>167</v>
      </c>
      <c r="AB66" s="110" t="s">
        <v>38</v>
      </c>
      <c r="AC66" s="33">
        <v>390000</v>
      </c>
      <c r="AD66" s="33"/>
      <c r="AE66" s="7">
        <f>AC66+AD66</f>
        <v>390000</v>
      </c>
      <c r="AF66" s="33"/>
      <c r="AG66" s="7">
        <f>AE66+AF66</f>
        <v>390000</v>
      </c>
      <c r="AH66" s="33"/>
      <c r="AI66" s="7">
        <f>+AG66+AH66</f>
        <v>390000</v>
      </c>
      <c r="AJ66" s="409"/>
      <c r="AK66" s="7">
        <v>500000</v>
      </c>
      <c r="AL66" s="33"/>
      <c r="AM66" s="33">
        <f>AK66+AL66</f>
        <v>500000</v>
      </c>
      <c r="AN66" s="33">
        <v>0</v>
      </c>
      <c r="AO66" s="33">
        <v>0</v>
      </c>
      <c r="AP66" s="7">
        <f>AN66+AO66</f>
        <v>0</v>
      </c>
      <c r="AQ66" s="33"/>
      <c r="AR66" s="33"/>
      <c r="AS66" s="7">
        <f>AQ66+AR66</f>
        <v>0</v>
      </c>
      <c r="AT66" s="33"/>
      <c r="AU66" s="33"/>
      <c r="AV66" s="7">
        <f>AT66+AU66</f>
        <v>0</v>
      </c>
      <c r="AW66" s="33"/>
      <c r="AX66" s="33"/>
      <c r="AY66" s="7">
        <f t="shared" si="1"/>
        <v>0</v>
      </c>
      <c r="AZ66" s="33"/>
      <c r="BA66" s="33"/>
      <c r="BB66" s="7">
        <f>AZ66+BA66</f>
        <v>0</v>
      </c>
      <c r="BC66" s="33"/>
      <c r="BD66" s="33"/>
      <c r="BE66" s="7">
        <f>BC66+BD66</f>
        <v>0</v>
      </c>
      <c r="BF66" s="33"/>
      <c r="BG66" s="33"/>
      <c r="BH66" s="7">
        <f>BF66+BG66</f>
        <v>0</v>
      </c>
      <c r="BI66" s="33"/>
      <c r="BJ66" s="33"/>
      <c r="BK66" s="7">
        <f>BI66+BJ66</f>
        <v>0</v>
      </c>
      <c r="BL66" s="33"/>
      <c r="BM66" s="33"/>
      <c r="BN66" s="7">
        <f>BL66+BM66</f>
        <v>0</v>
      </c>
      <c r="BO66" s="33"/>
      <c r="BP66" s="33"/>
      <c r="BQ66" s="7">
        <f>BO66+BP66</f>
        <v>0</v>
      </c>
      <c r="BR66" s="33"/>
      <c r="BS66" s="33"/>
      <c r="BT66" s="7">
        <f>BR66+BS66</f>
        <v>0</v>
      </c>
      <c r="BU66" s="33"/>
      <c r="BV66" s="33"/>
      <c r="BW66" s="7">
        <f>BU66+BV66</f>
        <v>0</v>
      </c>
      <c r="BX66" s="33"/>
      <c r="BY66" s="7">
        <f>AN66+AQ66+AT66++AW66+AZ66+BC66+BF66+BI66+BL66+BO66+BR66+BU66</f>
        <v>0</v>
      </c>
      <c r="BZ66" s="7">
        <f>AP66+AS66+AV66+AY66+BB66+BE66+BH66+BK66+BN66+BQ66+BT66+BW66</f>
        <v>0</v>
      </c>
      <c r="CA66" s="33"/>
      <c r="CB66" s="7">
        <f>AM66-BY66</f>
        <v>500000</v>
      </c>
      <c r="CC66" s="7">
        <f>AM66-BZ66</f>
        <v>500000</v>
      </c>
      <c r="CD66" s="15">
        <f>BY66/AM66</f>
        <v>0</v>
      </c>
      <c r="CE66" s="15">
        <f>BZ66/AM66</f>
        <v>0</v>
      </c>
      <c r="CF66" s="451" t="s">
        <v>874</v>
      </c>
      <c r="CG66" s="33">
        <v>1000000</v>
      </c>
      <c r="CH66" s="33"/>
      <c r="CI66" s="33"/>
      <c r="CJ66" s="33"/>
      <c r="CK66" s="33"/>
      <c r="CL66" s="7">
        <f>CK66</f>
        <v>0</v>
      </c>
      <c r="CM66" s="33"/>
      <c r="CN66" s="7">
        <f>CM66</f>
        <v>0</v>
      </c>
      <c r="CO66" s="33"/>
      <c r="CP66" s="33"/>
      <c r="CQ66" s="7">
        <f>CO66+CP66</f>
        <v>0</v>
      </c>
      <c r="CR66" s="7">
        <f>CK66+CM66+CO66</f>
        <v>0</v>
      </c>
      <c r="CS66" s="7">
        <f>CL66+CN66+CQ66</f>
        <v>0</v>
      </c>
      <c r="CT66" s="33"/>
      <c r="CU66" s="33"/>
      <c r="CV66" s="7">
        <f>CT66+CU66</f>
        <v>0</v>
      </c>
      <c r="CW66" s="33">
        <v>60641.08</v>
      </c>
      <c r="CX66" s="33"/>
      <c r="CY66" s="7">
        <f>CW66+CX66</f>
        <v>60641.08</v>
      </c>
      <c r="CZ66" s="33"/>
      <c r="DA66" s="33"/>
      <c r="DB66" s="7">
        <f>CZ66+DA66</f>
        <v>0</v>
      </c>
      <c r="DC66" s="33"/>
      <c r="DD66" s="7">
        <f>DC66</f>
        <v>0</v>
      </c>
      <c r="DE66" s="33"/>
      <c r="DF66" s="7">
        <f>DE66</f>
        <v>0</v>
      </c>
      <c r="DG66" s="33"/>
      <c r="DH66" s="7">
        <f>DG66</f>
        <v>0</v>
      </c>
      <c r="DI66" s="33"/>
      <c r="DJ66" s="7">
        <f>DI66</f>
        <v>0</v>
      </c>
      <c r="DK66" s="33"/>
      <c r="DL66" s="7">
        <f>DK66</f>
        <v>0</v>
      </c>
      <c r="DM66" s="33"/>
      <c r="DN66" s="7">
        <f>DM66</f>
        <v>0</v>
      </c>
      <c r="DO66" s="33"/>
      <c r="DP66" s="14">
        <f>CK66+CM66+CO66+CT66+CW66+CZ66+DC66+DE66+DG66+DI66+DK66+DM66</f>
        <v>60641.08</v>
      </c>
      <c r="DQ66" s="14">
        <f>CL66+CN66+CQ66+CV66+CY66+DB66</f>
        <v>60641.08</v>
      </c>
      <c r="DR66" s="7"/>
      <c r="DS66" s="7">
        <f>AG66-DP66</f>
        <v>329358.92</v>
      </c>
      <c r="DT66" s="7">
        <f>AG66-DQ66</f>
        <v>329358.92</v>
      </c>
      <c r="DU66" s="15">
        <f>DP66/AG66</f>
        <v>0.15548994871794872</v>
      </c>
      <c r="DV66" s="15">
        <f>DQ66/AG66</f>
        <v>0.15548994871794872</v>
      </c>
      <c r="DW66" s="291"/>
      <c r="DX66" s="291"/>
      <c r="DY66" s="33"/>
      <c r="DZ66" s="36"/>
      <c r="EA66" s="109"/>
    </row>
    <row r="67" spans="1:131" s="1" customFormat="1" x14ac:dyDescent="0.25">
      <c r="A67" s="12" t="s">
        <v>564</v>
      </c>
      <c r="B67" s="24" t="s">
        <v>62</v>
      </c>
      <c r="C67" s="8" t="s">
        <v>626</v>
      </c>
      <c r="D67" s="24"/>
      <c r="E67" s="3">
        <v>255005</v>
      </c>
      <c r="F67" s="353">
        <v>5</v>
      </c>
      <c r="G67" s="359" t="s">
        <v>186</v>
      </c>
      <c r="H67" s="353">
        <v>1525</v>
      </c>
      <c r="I67" s="9" t="s">
        <v>13</v>
      </c>
      <c r="J67" s="10" t="s">
        <v>13</v>
      </c>
      <c r="K67" s="3">
        <v>5</v>
      </c>
      <c r="L67" s="11" t="s">
        <v>186</v>
      </c>
      <c r="M67" s="45"/>
      <c r="N67" s="3" t="s">
        <v>186</v>
      </c>
      <c r="O67" s="3" t="s">
        <v>189</v>
      </c>
      <c r="P67" s="11" t="s">
        <v>187</v>
      </c>
      <c r="Q67" s="11" t="s">
        <v>187</v>
      </c>
      <c r="R67" s="11">
        <v>270</v>
      </c>
      <c r="S67" s="3" t="s">
        <v>188</v>
      </c>
      <c r="T67" s="12" t="s">
        <v>26</v>
      </c>
      <c r="U67" s="12" t="s">
        <v>222</v>
      </c>
      <c r="V67" s="12"/>
      <c r="W67" s="12" t="s">
        <v>5</v>
      </c>
      <c r="X67" s="12"/>
      <c r="Y67" s="25" t="s">
        <v>100</v>
      </c>
      <c r="Z67" s="25" t="s">
        <v>92</v>
      </c>
      <c r="AA67" s="10" t="s">
        <v>797</v>
      </c>
      <c r="AB67" s="110" t="s">
        <v>8</v>
      </c>
      <c r="AC67" s="33"/>
      <c r="AD67" s="33"/>
      <c r="AE67" s="7"/>
      <c r="AF67" s="33"/>
      <c r="AG67" s="7"/>
      <c r="AH67" s="33"/>
      <c r="AI67" s="7"/>
      <c r="AJ67" s="409"/>
      <c r="AK67" s="7"/>
      <c r="AL67" s="33"/>
      <c r="AM67" s="33">
        <v>12000</v>
      </c>
      <c r="AN67" s="33"/>
      <c r="AO67" s="33"/>
      <c r="AP67" s="7"/>
      <c r="AQ67" s="33"/>
      <c r="AR67" s="33"/>
      <c r="AS67" s="7"/>
      <c r="AT67" s="33"/>
      <c r="AU67" s="33"/>
      <c r="AV67" s="7"/>
      <c r="AW67" s="33"/>
      <c r="AX67" s="33"/>
      <c r="AY67" s="7">
        <f t="shared" si="1"/>
        <v>0</v>
      </c>
      <c r="AZ67" s="33"/>
      <c r="BA67" s="33"/>
      <c r="BB67" s="7"/>
      <c r="BC67" s="33"/>
      <c r="BD67" s="33"/>
      <c r="BE67" s="7"/>
      <c r="BF67" s="33"/>
      <c r="BG67" s="33"/>
      <c r="BH67" s="7"/>
      <c r="BI67" s="33"/>
      <c r="BJ67" s="33"/>
      <c r="BK67" s="7"/>
      <c r="BL67" s="33"/>
      <c r="BM67" s="33"/>
      <c r="BN67" s="7"/>
      <c r="BO67" s="33"/>
      <c r="BP67" s="33"/>
      <c r="BQ67" s="7"/>
      <c r="BR67" s="33"/>
      <c r="BS67" s="33"/>
      <c r="BT67" s="7"/>
      <c r="BU67" s="33"/>
      <c r="BV67" s="33"/>
      <c r="BW67" s="7"/>
      <c r="BX67" s="33"/>
      <c r="BY67" s="7">
        <f>AN67+AQ67+AT67++AW67+AZ67+BC67+BF67+BI67+BL67+BO67+BR67+BU67</f>
        <v>0</v>
      </c>
      <c r="BZ67" s="7">
        <f>AP67+AS67+AV67+AY67+BB67+BE67+BH67+BK67+BN67+BQ67+BT67+BW67</f>
        <v>0</v>
      </c>
      <c r="CA67" s="33"/>
      <c r="CB67" s="7">
        <f>AM67-BY67</f>
        <v>12000</v>
      </c>
      <c r="CC67" s="7">
        <f>AM67-BZ67</f>
        <v>12000</v>
      </c>
      <c r="CD67" s="15">
        <f>BY67/AM67</f>
        <v>0</v>
      </c>
      <c r="CE67" s="15">
        <f>BZ67/AM67</f>
        <v>0</v>
      </c>
      <c r="CF67" s="451" t="s">
        <v>685</v>
      </c>
      <c r="CG67" s="33"/>
      <c r="CH67" s="33"/>
      <c r="CI67" s="33"/>
      <c r="CJ67" s="33"/>
      <c r="CK67" s="33"/>
      <c r="CL67" s="7"/>
      <c r="CM67" s="33"/>
      <c r="CN67" s="7"/>
      <c r="CO67" s="33"/>
      <c r="CP67" s="33"/>
      <c r="CQ67" s="7"/>
      <c r="CR67" s="7"/>
      <c r="CS67" s="7"/>
      <c r="CT67" s="33"/>
      <c r="CU67" s="33"/>
      <c r="CV67" s="7"/>
      <c r="CW67" s="33"/>
      <c r="CX67" s="33"/>
      <c r="CY67" s="7"/>
      <c r="CZ67" s="33"/>
      <c r="DA67" s="33"/>
      <c r="DB67" s="7"/>
      <c r="DC67" s="33"/>
      <c r="DD67" s="7"/>
      <c r="DE67" s="33"/>
      <c r="DF67" s="7"/>
      <c r="DG67" s="33"/>
      <c r="DH67" s="7"/>
      <c r="DI67" s="33"/>
      <c r="DJ67" s="7"/>
      <c r="DK67" s="33"/>
      <c r="DL67" s="7"/>
      <c r="DM67" s="33"/>
      <c r="DN67" s="7"/>
      <c r="DO67" s="33"/>
      <c r="DP67" s="14"/>
      <c r="DQ67" s="14"/>
      <c r="DR67" s="7"/>
      <c r="DS67" s="7"/>
      <c r="DT67" s="7"/>
      <c r="DU67" s="15"/>
      <c r="DV67" s="15"/>
      <c r="DW67" s="291"/>
      <c r="DX67" s="291"/>
      <c r="DY67" s="33"/>
      <c r="DZ67" s="36"/>
      <c r="EA67" s="109"/>
    </row>
    <row r="68" spans="1:131" s="1" customFormat="1" x14ac:dyDescent="0.25">
      <c r="A68" s="12" t="s">
        <v>564</v>
      </c>
      <c r="B68" s="24" t="s">
        <v>795</v>
      </c>
      <c r="C68" s="8" t="s">
        <v>626</v>
      </c>
      <c r="D68" s="24"/>
      <c r="E68" s="3">
        <v>255010</v>
      </c>
      <c r="F68" s="353">
        <v>5</v>
      </c>
      <c r="G68" s="359" t="s">
        <v>186</v>
      </c>
      <c r="H68" s="353">
        <v>1524</v>
      </c>
      <c r="I68" s="9" t="s">
        <v>246</v>
      </c>
      <c r="J68" s="10" t="s">
        <v>72</v>
      </c>
      <c r="K68" s="3">
        <v>5</v>
      </c>
      <c r="L68" s="11" t="s">
        <v>186</v>
      </c>
      <c r="M68" s="45"/>
      <c r="N68" s="3" t="s">
        <v>186</v>
      </c>
      <c r="O68" s="3" t="s">
        <v>189</v>
      </c>
      <c r="P68" s="11" t="s">
        <v>187</v>
      </c>
      <c r="Q68" s="11" t="s">
        <v>187</v>
      </c>
      <c r="R68" s="11">
        <v>270</v>
      </c>
      <c r="S68" s="11" t="s">
        <v>188</v>
      </c>
      <c r="T68" s="12" t="s">
        <v>26</v>
      </c>
      <c r="U68" s="12" t="s">
        <v>222</v>
      </c>
      <c r="V68" s="12"/>
      <c r="W68" s="12" t="s">
        <v>5</v>
      </c>
      <c r="X68" s="12"/>
      <c r="Y68" s="25" t="s">
        <v>100</v>
      </c>
      <c r="Z68" s="25" t="s">
        <v>92</v>
      </c>
      <c r="AA68" s="10" t="s">
        <v>796</v>
      </c>
      <c r="AB68" s="110" t="s">
        <v>8</v>
      </c>
      <c r="AC68" s="33"/>
      <c r="AD68" s="33"/>
      <c r="AE68" s="7"/>
      <c r="AF68" s="33"/>
      <c r="AG68" s="7"/>
      <c r="AH68" s="33"/>
      <c r="AI68" s="7"/>
      <c r="AJ68" s="409"/>
      <c r="AK68" s="7"/>
      <c r="AL68" s="33"/>
      <c r="AM68" s="33">
        <v>13000</v>
      </c>
      <c r="AN68" s="33"/>
      <c r="AO68" s="33"/>
      <c r="AP68" s="7"/>
      <c r="AQ68" s="33"/>
      <c r="AR68" s="33"/>
      <c r="AS68" s="7"/>
      <c r="AT68" s="33"/>
      <c r="AU68" s="33"/>
      <c r="AV68" s="7"/>
      <c r="AW68" s="33"/>
      <c r="AX68" s="33"/>
      <c r="AY68" s="7">
        <f t="shared" si="1"/>
        <v>0</v>
      </c>
      <c r="AZ68" s="33"/>
      <c r="BA68" s="33"/>
      <c r="BB68" s="7"/>
      <c r="BC68" s="33"/>
      <c r="BD68" s="33"/>
      <c r="BE68" s="7"/>
      <c r="BF68" s="33"/>
      <c r="BG68" s="33"/>
      <c r="BH68" s="7"/>
      <c r="BI68" s="33"/>
      <c r="BJ68" s="33"/>
      <c r="BK68" s="7"/>
      <c r="BL68" s="33"/>
      <c r="BM68" s="33"/>
      <c r="BN68" s="7"/>
      <c r="BO68" s="33"/>
      <c r="BP68" s="33"/>
      <c r="BQ68" s="7"/>
      <c r="BR68" s="33"/>
      <c r="BS68" s="33"/>
      <c r="BT68" s="7"/>
      <c r="BU68" s="33"/>
      <c r="BV68" s="33"/>
      <c r="BW68" s="7"/>
      <c r="BX68" s="33">
        <v>10826</v>
      </c>
      <c r="BY68" s="7">
        <f>AN68+AQ68+AT68++AW68+AZ68+BC68+BF68+BI68+BL68+BO68+BR68+BU68</f>
        <v>0</v>
      </c>
      <c r="BZ68" s="7">
        <f>AP68+AS68+AV68+AY68+BB68+BE68+BH68+BK68+BN68+BQ68+BT68+BW68</f>
        <v>0</v>
      </c>
      <c r="CA68" s="33"/>
      <c r="CB68" s="7">
        <f>AM68-BY68</f>
        <v>13000</v>
      </c>
      <c r="CC68" s="7">
        <f>AM68-BZ68</f>
        <v>13000</v>
      </c>
      <c r="CD68" s="15">
        <f>BY68/AM68</f>
        <v>0</v>
      </c>
      <c r="CE68" s="15">
        <f>BZ68/AM68</f>
        <v>0</v>
      </c>
      <c r="CF68" s="451" t="s">
        <v>685</v>
      </c>
      <c r="CG68" s="33"/>
      <c r="CH68" s="33"/>
      <c r="CI68" s="33"/>
      <c r="CJ68" s="33"/>
      <c r="CK68" s="33"/>
      <c r="CL68" s="7"/>
      <c r="CM68" s="33"/>
      <c r="CN68" s="7"/>
      <c r="CO68" s="33"/>
      <c r="CP68" s="33"/>
      <c r="CQ68" s="7"/>
      <c r="CR68" s="7"/>
      <c r="CS68" s="7"/>
      <c r="CT68" s="33"/>
      <c r="CU68" s="33"/>
      <c r="CV68" s="7"/>
      <c r="CW68" s="33"/>
      <c r="CX68" s="33"/>
      <c r="CY68" s="7"/>
      <c r="CZ68" s="33"/>
      <c r="DA68" s="33"/>
      <c r="DB68" s="7"/>
      <c r="DC68" s="33"/>
      <c r="DD68" s="7"/>
      <c r="DE68" s="33"/>
      <c r="DF68" s="7"/>
      <c r="DG68" s="33"/>
      <c r="DH68" s="7"/>
      <c r="DI68" s="33"/>
      <c r="DJ68" s="7"/>
      <c r="DK68" s="33"/>
      <c r="DL68" s="7"/>
      <c r="DM68" s="33"/>
      <c r="DN68" s="7"/>
      <c r="DO68" s="33"/>
      <c r="DP68" s="14"/>
      <c r="DQ68" s="14"/>
      <c r="DR68" s="7"/>
      <c r="DS68" s="7"/>
      <c r="DT68" s="7"/>
      <c r="DU68" s="15"/>
      <c r="DV68" s="15"/>
      <c r="DW68" s="33"/>
      <c r="DX68" s="33"/>
      <c r="DY68" s="33"/>
      <c r="DZ68" s="36"/>
      <c r="EA68" s="109"/>
    </row>
    <row r="69" spans="1:131" s="1" customFormat="1" ht="16.5" thickBot="1" x14ac:dyDescent="0.3">
      <c r="A69" s="114"/>
      <c r="B69" s="28"/>
      <c r="C69" s="114"/>
      <c r="D69" s="28"/>
      <c r="E69" s="16"/>
      <c r="F69" s="355"/>
      <c r="G69" s="355"/>
      <c r="H69" s="355"/>
      <c r="I69" s="37"/>
      <c r="J69" s="38"/>
      <c r="K69" s="16"/>
      <c r="L69" s="16"/>
      <c r="M69" s="57"/>
      <c r="N69" s="16"/>
      <c r="O69" s="16"/>
      <c r="P69" s="16"/>
      <c r="Q69" s="16"/>
      <c r="R69" s="16"/>
      <c r="S69" s="16"/>
      <c r="T69" s="28"/>
      <c r="U69" s="28"/>
      <c r="V69" s="28"/>
      <c r="W69" s="28"/>
      <c r="X69" s="28"/>
      <c r="Y69" s="39"/>
      <c r="Z69" s="30"/>
      <c r="AA69" s="56" t="s">
        <v>579</v>
      </c>
      <c r="AB69" s="28"/>
      <c r="AC69" s="42">
        <f>SUM(AC31:AC68)</f>
        <v>75564440</v>
      </c>
      <c r="AD69" s="42">
        <f>SUM(AD31:AD68)</f>
        <v>0</v>
      </c>
      <c r="AE69" s="42">
        <f>SUM(AE31:AE68)</f>
        <v>75564440</v>
      </c>
      <c r="AF69" s="42">
        <f>SUM(AF31:AF68)</f>
        <v>5931500</v>
      </c>
      <c r="AG69" s="7">
        <f t="shared" si="24"/>
        <v>81495940</v>
      </c>
      <c r="AH69" s="42">
        <f>SUM(AH27:AH68)</f>
        <v>-800000</v>
      </c>
      <c r="AI69" s="7">
        <f t="shared" si="25"/>
        <v>80695940</v>
      </c>
      <c r="AJ69" s="410">
        <f t="shared" ref="AJ69:BX69" si="105">SUM(AJ27:AJ68)</f>
        <v>0</v>
      </c>
      <c r="AK69" s="42">
        <f t="shared" si="105"/>
        <v>90136108</v>
      </c>
      <c r="AL69" s="42">
        <f t="shared" si="105"/>
        <v>10669147</v>
      </c>
      <c r="AM69" s="42">
        <f t="shared" si="105"/>
        <v>100830255</v>
      </c>
      <c r="AN69" s="42">
        <f t="shared" si="105"/>
        <v>4419423.2700000005</v>
      </c>
      <c r="AO69" s="42">
        <f t="shared" si="105"/>
        <v>304419.25</v>
      </c>
      <c r="AP69" s="42">
        <f t="shared" si="105"/>
        <v>4723842.5200000005</v>
      </c>
      <c r="AQ69" s="42">
        <f t="shared" si="105"/>
        <v>7529330.8000000007</v>
      </c>
      <c r="AR69" s="42">
        <f t="shared" si="105"/>
        <v>548430.77</v>
      </c>
      <c r="AS69" s="42">
        <f t="shared" si="105"/>
        <v>8077761.5700000003</v>
      </c>
      <c r="AT69" s="42">
        <f t="shared" si="105"/>
        <v>9250670.4900000002</v>
      </c>
      <c r="AU69" s="42">
        <f t="shared" si="105"/>
        <v>772216.71</v>
      </c>
      <c r="AV69" s="42">
        <f t="shared" si="105"/>
        <v>10022887.199999999</v>
      </c>
      <c r="AW69" s="42">
        <f t="shared" si="105"/>
        <v>14777558.369999999</v>
      </c>
      <c r="AX69" s="42">
        <f t="shared" si="105"/>
        <v>691193.55</v>
      </c>
      <c r="AY69" s="20">
        <f t="shared" si="1"/>
        <v>15468751.92</v>
      </c>
      <c r="AZ69" s="42">
        <f t="shared" si="105"/>
        <v>0</v>
      </c>
      <c r="BA69" s="42">
        <f t="shared" si="105"/>
        <v>0</v>
      </c>
      <c r="BB69" s="42">
        <f t="shared" si="105"/>
        <v>0</v>
      </c>
      <c r="BC69" s="42">
        <f t="shared" si="105"/>
        <v>0</v>
      </c>
      <c r="BD69" s="42">
        <f t="shared" si="105"/>
        <v>0</v>
      </c>
      <c r="BE69" s="42">
        <f t="shared" si="105"/>
        <v>0</v>
      </c>
      <c r="BF69" s="42">
        <f t="shared" si="105"/>
        <v>0</v>
      </c>
      <c r="BG69" s="42">
        <f t="shared" si="105"/>
        <v>0</v>
      </c>
      <c r="BH69" s="42">
        <f t="shared" si="105"/>
        <v>0</v>
      </c>
      <c r="BI69" s="42">
        <f t="shared" si="105"/>
        <v>0</v>
      </c>
      <c r="BJ69" s="42">
        <f t="shared" si="105"/>
        <v>0</v>
      </c>
      <c r="BK69" s="42">
        <f t="shared" si="105"/>
        <v>0</v>
      </c>
      <c r="BL69" s="42">
        <f t="shared" si="105"/>
        <v>0</v>
      </c>
      <c r="BM69" s="42">
        <f t="shared" si="105"/>
        <v>0</v>
      </c>
      <c r="BN69" s="42">
        <f t="shared" si="105"/>
        <v>0</v>
      </c>
      <c r="BO69" s="42">
        <f t="shared" si="105"/>
        <v>0</v>
      </c>
      <c r="BP69" s="42">
        <f t="shared" si="105"/>
        <v>0</v>
      </c>
      <c r="BQ69" s="42">
        <f t="shared" si="105"/>
        <v>0</v>
      </c>
      <c r="BR69" s="42">
        <f t="shared" si="105"/>
        <v>0</v>
      </c>
      <c r="BS69" s="42">
        <f t="shared" si="105"/>
        <v>0</v>
      </c>
      <c r="BT69" s="42">
        <f t="shared" si="105"/>
        <v>0</v>
      </c>
      <c r="BU69" s="42">
        <f t="shared" si="105"/>
        <v>0</v>
      </c>
      <c r="BV69" s="42">
        <f t="shared" si="105"/>
        <v>0</v>
      </c>
      <c r="BW69" s="42">
        <f t="shared" si="105"/>
        <v>0</v>
      </c>
      <c r="BX69" s="42">
        <f t="shared" si="105"/>
        <v>281202.87</v>
      </c>
      <c r="BY69" s="20">
        <f t="shared" si="18"/>
        <v>35976982.93</v>
      </c>
      <c r="BZ69" s="20">
        <f t="shared" si="19"/>
        <v>38293243.210000001</v>
      </c>
      <c r="CA69" s="42">
        <f>SUM(CA27:CA68)</f>
        <v>0</v>
      </c>
      <c r="CB69" s="20">
        <f t="shared" si="20"/>
        <v>64853272.07</v>
      </c>
      <c r="CC69" s="20">
        <f t="shared" si="21"/>
        <v>62537011.789999999</v>
      </c>
      <c r="CD69" s="21">
        <f t="shared" si="22"/>
        <v>0.35680741787274067</v>
      </c>
      <c r="CE69" s="21">
        <f t="shared" si="23"/>
        <v>0.37977929551006295</v>
      </c>
      <c r="CF69" s="451"/>
      <c r="CG69" s="42" t="e">
        <f>+CG27+CG28+#REF!+#REF!+#REF!+CG41+CG42+#REF!+#REF!+CG52+CG54+#REF!+CG57+CG58+CG59+CG60+CG62+CG63+CG64+CG66</f>
        <v>#REF!</v>
      </c>
      <c r="CH69" s="42" t="e">
        <f>+CH27+CH28+#REF!+#REF!+#REF!+CH41+CH42+#REF!+#REF!+CH52+CH54+#REF!+CH57+CH58+CH59+CH60+CH62+CH63+CH64+CH66</f>
        <v>#REF!</v>
      </c>
      <c r="CI69" s="42" t="e">
        <f>+CI27+CI28+#REF!+#REF!+#REF!+CI41+CI42+#REF!+#REF!+CI52+CI54+#REF!+CI57+CI58+CI59+CI60+CI62+CI63+CI64+CI66</f>
        <v>#REF!</v>
      </c>
      <c r="CJ69" s="42" t="e">
        <f>+CJ27+CJ28+#REF!+#REF!+#REF!+CJ41+CJ42+#REF!+#REF!+CJ52+CJ54+#REF!+CJ57+CJ58+CJ59+CJ60+CJ62+CJ63+CJ64+CJ66</f>
        <v>#REF!</v>
      </c>
      <c r="CK69" s="42">
        <f t="shared" ref="CK69:DT69" si="106">SUM(CK31:CK68)</f>
        <v>0</v>
      </c>
      <c r="CL69" s="42">
        <f t="shared" si="106"/>
        <v>0</v>
      </c>
      <c r="CM69" s="42">
        <f t="shared" si="106"/>
        <v>206300.69</v>
      </c>
      <c r="CN69" s="42">
        <f t="shared" si="106"/>
        <v>227189.19</v>
      </c>
      <c r="CO69" s="42">
        <f t="shared" si="106"/>
        <v>1146539.54</v>
      </c>
      <c r="CP69" s="42">
        <f t="shared" si="106"/>
        <v>117970.53</v>
      </c>
      <c r="CQ69" s="42">
        <f t="shared" si="106"/>
        <v>1264510.07</v>
      </c>
      <c r="CR69" s="42">
        <f t="shared" si="106"/>
        <v>1352840.23</v>
      </c>
      <c r="CS69" s="42">
        <f t="shared" si="106"/>
        <v>1491699.2600000002</v>
      </c>
      <c r="CT69" s="42">
        <f t="shared" si="106"/>
        <v>452264</v>
      </c>
      <c r="CU69" s="42">
        <f t="shared" si="106"/>
        <v>102236.95999999999</v>
      </c>
      <c r="CV69" s="42">
        <f t="shared" si="106"/>
        <v>554500.96</v>
      </c>
      <c r="CW69" s="42">
        <f t="shared" si="106"/>
        <v>1396731.9100000001</v>
      </c>
      <c r="CX69" s="42">
        <f t="shared" si="106"/>
        <v>179317.02000000002</v>
      </c>
      <c r="CY69" s="42">
        <f t="shared" si="106"/>
        <v>1576048.9300000002</v>
      </c>
      <c r="CZ69" s="42">
        <f t="shared" si="106"/>
        <v>1289412.8900000001</v>
      </c>
      <c r="DA69" s="42">
        <f t="shared" si="106"/>
        <v>65239.82</v>
      </c>
      <c r="DB69" s="42">
        <f t="shared" si="106"/>
        <v>1354652.71</v>
      </c>
      <c r="DC69" s="42">
        <f t="shared" si="106"/>
        <v>0</v>
      </c>
      <c r="DD69" s="42">
        <f t="shared" si="106"/>
        <v>0</v>
      </c>
      <c r="DE69" s="42">
        <f t="shared" si="106"/>
        <v>0</v>
      </c>
      <c r="DF69" s="42">
        <f t="shared" si="106"/>
        <v>0</v>
      </c>
      <c r="DG69" s="42">
        <f t="shared" si="106"/>
        <v>0</v>
      </c>
      <c r="DH69" s="42">
        <f t="shared" si="106"/>
        <v>0</v>
      </c>
      <c r="DI69" s="42">
        <f t="shared" si="106"/>
        <v>0</v>
      </c>
      <c r="DJ69" s="42">
        <f t="shared" si="106"/>
        <v>0</v>
      </c>
      <c r="DK69" s="42">
        <f t="shared" si="106"/>
        <v>0</v>
      </c>
      <c r="DL69" s="42">
        <f t="shared" si="106"/>
        <v>0</v>
      </c>
      <c r="DM69" s="42">
        <f t="shared" si="106"/>
        <v>0</v>
      </c>
      <c r="DN69" s="42">
        <f t="shared" si="106"/>
        <v>0</v>
      </c>
      <c r="DO69" s="42">
        <f t="shared" si="106"/>
        <v>12905914.24</v>
      </c>
      <c r="DP69" s="42">
        <f t="shared" si="106"/>
        <v>4491249.0299999993</v>
      </c>
      <c r="DQ69" s="42">
        <f t="shared" si="106"/>
        <v>4976901.8599999994</v>
      </c>
      <c r="DR69" s="42">
        <f t="shared" si="106"/>
        <v>0</v>
      </c>
      <c r="DS69" s="42">
        <f t="shared" si="106"/>
        <v>77004690.969999999</v>
      </c>
      <c r="DT69" s="42">
        <f t="shared" si="106"/>
        <v>76519038.140000001</v>
      </c>
      <c r="DU69" s="21">
        <f>DP69/AG69</f>
        <v>5.5110095423158492E-2</v>
      </c>
      <c r="DV69" s="21">
        <f>DQ69/AG69</f>
        <v>6.1069322717180748E-2</v>
      </c>
      <c r="DW69" s="21"/>
      <c r="DX69" s="21"/>
      <c r="DY69" s="42">
        <f>SUM(DY27:DY68)</f>
        <v>0</v>
      </c>
      <c r="DZ69" s="42"/>
      <c r="EA69" s="109"/>
    </row>
    <row r="70" spans="1:131" s="1" customFormat="1" ht="16.5" thickTop="1" x14ac:dyDescent="0.25">
      <c r="A70" s="10"/>
      <c r="B70" s="12"/>
      <c r="C70" s="10"/>
      <c r="D70" s="12"/>
      <c r="E70" s="3"/>
      <c r="F70" s="353"/>
      <c r="G70" s="353"/>
      <c r="H70" s="353"/>
      <c r="I70" s="9"/>
      <c r="J70" s="10"/>
      <c r="K70" s="3"/>
      <c r="L70" s="3"/>
      <c r="M70" s="45"/>
      <c r="N70" s="3"/>
      <c r="O70" s="3"/>
      <c r="P70" s="3"/>
      <c r="Q70" s="3"/>
      <c r="R70" s="3"/>
      <c r="S70" s="3"/>
      <c r="T70" s="12"/>
      <c r="U70" s="12"/>
      <c r="V70" s="12"/>
      <c r="W70" s="12"/>
      <c r="X70" s="12"/>
      <c r="Y70" s="13"/>
      <c r="Z70" s="25"/>
      <c r="AA70" s="10"/>
      <c r="AB70" s="12"/>
      <c r="AC70" s="36"/>
      <c r="AD70" s="36"/>
      <c r="AE70" s="7"/>
      <c r="AF70" s="33"/>
      <c r="AG70" s="7">
        <f t="shared" si="24"/>
        <v>0</v>
      </c>
      <c r="AH70" s="33"/>
      <c r="AI70" s="7">
        <f t="shared" si="25"/>
        <v>0</v>
      </c>
      <c r="AJ70" s="409"/>
      <c r="AK70" s="27"/>
      <c r="AL70" s="36"/>
      <c r="AM70" s="33"/>
      <c r="AN70" s="36"/>
      <c r="AO70" s="36"/>
      <c r="AP70" s="7"/>
      <c r="AQ70" s="36"/>
      <c r="AR70" s="36"/>
      <c r="AS70" s="7"/>
      <c r="AT70" s="36"/>
      <c r="AU70" s="36"/>
      <c r="AV70" s="7"/>
      <c r="AW70" s="33"/>
      <c r="AX70" s="33"/>
      <c r="AY70" s="7"/>
      <c r="AZ70" s="33"/>
      <c r="BA70" s="33"/>
      <c r="BB70" s="7"/>
      <c r="BC70" s="33"/>
      <c r="BD70" s="33"/>
      <c r="BE70" s="7"/>
      <c r="BF70" s="33"/>
      <c r="BG70" s="33"/>
      <c r="BH70" s="7"/>
      <c r="BI70" s="33"/>
      <c r="BJ70" s="33"/>
      <c r="BK70" s="7"/>
      <c r="BL70" s="33"/>
      <c r="BM70" s="33"/>
      <c r="BN70" s="7"/>
      <c r="BO70" s="33"/>
      <c r="BP70" s="33"/>
      <c r="BQ70" s="7"/>
      <c r="BR70" s="33"/>
      <c r="BS70" s="33"/>
      <c r="BT70" s="7"/>
      <c r="BU70" s="33"/>
      <c r="BV70" s="33"/>
      <c r="BW70" s="7"/>
      <c r="BX70" s="33"/>
      <c r="BY70" s="7"/>
      <c r="BZ70" s="7"/>
      <c r="CA70" s="33"/>
      <c r="CB70" s="7"/>
      <c r="CC70" s="7"/>
      <c r="CD70" s="15"/>
      <c r="CE70" s="15"/>
      <c r="CF70" s="450"/>
      <c r="CG70" s="36"/>
      <c r="CH70" s="33"/>
      <c r="CI70" s="33"/>
      <c r="CJ70" s="33"/>
      <c r="CK70" s="36"/>
      <c r="CL70" s="7"/>
      <c r="CM70" s="36"/>
      <c r="CN70" s="7"/>
      <c r="CO70" s="36"/>
      <c r="CP70" s="36"/>
      <c r="CQ70" s="7"/>
      <c r="CR70" s="7"/>
      <c r="CS70" s="7"/>
      <c r="CT70" s="36"/>
      <c r="CU70" s="36"/>
      <c r="CV70" s="7"/>
      <c r="CW70" s="36"/>
      <c r="CX70" s="36"/>
      <c r="CY70" s="7"/>
      <c r="CZ70" s="36"/>
      <c r="DA70" s="36"/>
      <c r="DB70" s="7"/>
      <c r="DC70" s="36"/>
      <c r="DD70" s="7">
        <f>DC70</f>
        <v>0</v>
      </c>
      <c r="DE70" s="36"/>
      <c r="DF70" s="7">
        <f>DE70</f>
        <v>0</v>
      </c>
      <c r="DG70" s="36"/>
      <c r="DH70" s="7">
        <f>DG70</f>
        <v>0</v>
      </c>
      <c r="DI70" s="36"/>
      <c r="DJ70" s="7">
        <f>DI70</f>
        <v>0</v>
      </c>
      <c r="DK70" s="36"/>
      <c r="DL70" s="7">
        <f>DK70</f>
        <v>0</v>
      </c>
      <c r="DM70" s="36"/>
      <c r="DN70" s="7">
        <f>DM70</f>
        <v>0</v>
      </c>
      <c r="DO70" s="36"/>
      <c r="DP70" s="14"/>
      <c r="DQ70" s="14"/>
      <c r="DR70" s="7"/>
      <c r="DS70" s="7"/>
      <c r="DT70" s="7"/>
      <c r="DU70" s="15"/>
      <c r="DV70" s="15"/>
      <c r="DW70" s="291"/>
      <c r="DX70" s="291"/>
      <c r="DY70" s="33"/>
      <c r="DZ70" s="36"/>
      <c r="EA70" s="109"/>
    </row>
    <row r="71" spans="1:131" s="1" customFormat="1" x14ac:dyDescent="0.25">
      <c r="A71" s="22" t="s">
        <v>109</v>
      </c>
      <c r="B71" s="23"/>
      <c r="C71" s="22"/>
      <c r="D71" s="23"/>
      <c r="E71" s="3"/>
      <c r="F71" s="353"/>
      <c r="G71" s="353"/>
      <c r="H71" s="353"/>
      <c r="I71" s="9"/>
      <c r="J71" s="10"/>
      <c r="K71" s="3"/>
      <c r="L71" s="3"/>
      <c r="M71" s="45"/>
      <c r="N71" s="3"/>
      <c r="O71" s="3"/>
      <c r="P71" s="3"/>
      <c r="Q71" s="3"/>
      <c r="R71" s="3"/>
      <c r="S71" s="3"/>
      <c r="T71" s="12"/>
      <c r="U71" s="12"/>
      <c r="V71" s="12"/>
      <c r="W71" s="12"/>
      <c r="X71" s="12"/>
      <c r="Y71" s="13"/>
      <c r="Z71" s="25"/>
      <c r="AA71" s="22" t="s">
        <v>109</v>
      </c>
      <c r="AB71" s="12"/>
      <c r="AC71" s="36"/>
      <c r="AD71" s="36"/>
      <c r="AE71" s="7"/>
      <c r="AF71" s="33"/>
      <c r="AG71" s="7">
        <f t="shared" si="24"/>
        <v>0</v>
      </c>
      <c r="AH71" s="33"/>
      <c r="AI71" s="7">
        <f t="shared" si="25"/>
        <v>0</v>
      </c>
      <c r="AJ71" s="409"/>
      <c r="AK71" s="27"/>
      <c r="AL71" s="36"/>
      <c r="AM71" s="33"/>
      <c r="AN71" s="36"/>
      <c r="AO71" s="36"/>
      <c r="AP71" s="7"/>
      <c r="AQ71" s="36"/>
      <c r="AR71" s="36"/>
      <c r="AS71" s="7"/>
      <c r="AT71" s="36"/>
      <c r="AU71" s="36"/>
      <c r="AV71" s="7"/>
      <c r="AW71" s="33"/>
      <c r="AX71" s="33"/>
      <c r="AY71" s="7"/>
      <c r="AZ71" s="33"/>
      <c r="BA71" s="33"/>
      <c r="BB71" s="7"/>
      <c r="BC71" s="33"/>
      <c r="BD71" s="33"/>
      <c r="BE71" s="7"/>
      <c r="BF71" s="33"/>
      <c r="BG71" s="33"/>
      <c r="BH71" s="7"/>
      <c r="BI71" s="33"/>
      <c r="BJ71" s="33"/>
      <c r="BK71" s="7"/>
      <c r="BL71" s="33"/>
      <c r="BM71" s="33"/>
      <c r="BN71" s="7"/>
      <c r="BO71" s="33"/>
      <c r="BP71" s="33"/>
      <c r="BQ71" s="7"/>
      <c r="BR71" s="33"/>
      <c r="BS71" s="33"/>
      <c r="BT71" s="7"/>
      <c r="BU71" s="33"/>
      <c r="BV71" s="33"/>
      <c r="BW71" s="7"/>
      <c r="BX71" s="33"/>
      <c r="BY71" s="7"/>
      <c r="BZ71" s="7"/>
      <c r="CA71" s="33"/>
      <c r="CB71" s="7"/>
      <c r="CC71" s="7"/>
      <c r="CD71" s="15"/>
      <c r="CE71" s="15"/>
      <c r="CF71" s="450"/>
      <c r="CG71" s="36"/>
      <c r="CH71" s="33"/>
      <c r="CI71" s="33"/>
      <c r="CJ71" s="33"/>
      <c r="CK71" s="36"/>
      <c r="CL71" s="7"/>
      <c r="CM71" s="36"/>
      <c r="CN71" s="7"/>
      <c r="CO71" s="36"/>
      <c r="CP71" s="36"/>
      <c r="CQ71" s="7"/>
      <c r="CR71" s="7"/>
      <c r="CS71" s="7"/>
      <c r="CT71" s="36"/>
      <c r="CU71" s="36"/>
      <c r="CV71" s="7"/>
      <c r="CW71" s="36"/>
      <c r="CX71" s="36"/>
      <c r="CY71" s="7"/>
      <c r="CZ71" s="36"/>
      <c r="DA71" s="36"/>
      <c r="DB71" s="7"/>
      <c r="DC71" s="36"/>
      <c r="DD71" s="7">
        <f>DC71</f>
        <v>0</v>
      </c>
      <c r="DE71" s="36"/>
      <c r="DF71" s="7">
        <f>DE71</f>
        <v>0</v>
      </c>
      <c r="DG71" s="36"/>
      <c r="DH71" s="7">
        <f>DG71</f>
        <v>0</v>
      </c>
      <c r="DI71" s="36"/>
      <c r="DJ71" s="7">
        <f>DI71</f>
        <v>0</v>
      </c>
      <c r="DK71" s="36"/>
      <c r="DL71" s="7">
        <f>DK71</f>
        <v>0</v>
      </c>
      <c r="DM71" s="36"/>
      <c r="DN71" s="7">
        <f>DM71</f>
        <v>0</v>
      </c>
      <c r="DO71" s="36"/>
      <c r="DP71" s="14"/>
      <c r="DQ71" s="14"/>
      <c r="DR71" s="7"/>
      <c r="DS71" s="7"/>
      <c r="DT71" s="7"/>
      <c r="DU71" s="15"/>
      <c r="DV71" s="15"/>
      <c r="DW71" s="291"/>
      <c r="DX71" s="291"/>
      <c r="DY71" s="33"/>
      <c r="DZ71" s="36"/>
      <c r="EA71" s="109"/>
    </row>
    <row r="72" spans="1:131" s="1" customFormat="1" x14ac:dyDescent="0.25">
      <c r="A72" s="10" t="s">
        <v>101</v>
      </c>
      <c r="B72" s="43"/>
      <c r="C72" s="8" t="s">
        <v>644</v>
      </c>
      <c r="D72" s="43"/>
      <c r="E72" s="3">
        <v>305005</v>
      </c>
      <c r="F72" s="353">
        <v>4</v>
      </c>
      <c r="G72" s="359" t="s">
        <v>187</v>
      </c>
      <c r="H72" s="353">
        <v>1505</v>
      </c>
      <c r="I72" s="9" t="s">
        <v>246</v>
      </c>
      <c r="J72" s="10" t="s">
        <v>72</v>
      </c>
      <c r="K72" s="3">
        <v>4</v>
      </c>
      <c r="L72" s="11" t="s">
        <v>187</v>
      </c>
      <c r="M72" s="45"/>
      <c r="N72" s="11" t="s">
        <v>186</v>
      </c>
      <c r="O72" s="11" t="s">
        <v>582</v>
      </c>
      <c r="P72" s="11" t="s">
        <v>187</v>
      </c>
      <c r="Q72" s="11" t="s">
        <v>187</v>
      </c>
      <c r="R72" s="3">
        <v>270</v>
      </c>
      <c r="S72" s="3" t="s">
        <v>188</v>
      </c>
      <c r="T72" s="12" t="s">
        <v>26</v>
      </c>
      <c r="U72" s="12" t="s">
        <v>222</v>
      </c>
      <c r="V72" s="12"/>
      <c r="W72" s="12" t="s">
        <v>5</v>
      </c>
      <c r="X72" s="12"/>
      <c r="Y72" s="13" t="s">
        <v>100</v>
      </c>
      <c r="Z72" s="25" t="s">
        <v>92</v>
      </c>
      <c r="AA72" s="9" t="s">
        <v>293</v>
      </c>
      <c r="AB72" s="12" t="s">
        <v>8</v>
      </c>
      <c r="AC72" s="36"/>
      <c r="AD72" s="36"/>
      <c r="AE72" s="7"/>
      <c r="AF72" s="33"/>
      <c r="AG72" s="7">
        <f t="shared" si="24"/>
        <v>0</v>
      </c>
      <c r="AH72" s="33"/>
      <c r="AI72" s="7">
        <f t="shared" si="25"/>
        <v>0</v>
      </c>
      <c r="AJ72" s="409"/>
      <c r="AK72" s="27">
        <v>500000</v>
      </c>
      <c r="AL72" s="36"/>
      <c r="AM72" s="33">
        <f t="shared" si="28"/>
        <v>500000</v>
      </c>
      <c r="AN72" s="36">
        <v>19074.32</v>
      </c>
      <c r="AO72" s="36">
        <v>0</v>
      </c>
      <c r="AP72" s="7">
        <f t="shared" si="29"/>
        <v>19074.32</v>
      </c>
      <c r="AQ72" s="36"/>
      <c r="AR72" s="36"/>
      <c r="AS72" s="7">
        <f t="shared" si="30"/>
        <v>0</v>
      </c>
      <c r="AT72" s="36"/>
      <c r="AU72" s="36"/>
      <c r="AV72" s="7">
        <f t="shared" si="31"/>
        <v>0</v>
      </c>
      <c r="AW72" s="7"/>
      <c r="AX72" s="7"/>
      <c r="AY72" s="7">
        <f t="shared" si="1"/>
        <v>0</v>
      </c>
      <c r="AZ72" s="7"/>
      <c r="BA72" s="7"/>
      <c r="BB72" s="7">
        <f t="shared" si="32"/>
        <v>0</v>
      </c>
      <c r="BC72" s="7"/>
      <c r="BD72" s="7"/>
      <c r="BE72" s="7">
        <f t="shared" si="33"/>
        <v>0</v>
      </c>
      <c r="BF72" s="7"/>
      <c r="BG72" s="7"/>
      <c r="BH72" s="7">
        <f t="shared" si="34"/>
        <v>0</v>
      </c>
      <c r="BI72" s="7"/>
      <c r="BJ72" s="7"/>
      <c r="BK72" s="7">
        <f t="shared" si="35"/>
        <v>0</v>
      </c>
      <c r="BL72" s="7"/>
      <c r="BM72" s="7"/>
      <c r="BN72" s="7">
        <f t="shared" si="36"/>
        <v>0</v>
      </c>
      <c r="BO72" s="7"/>
      <c r="BP72" s="7"/>
      <c r="BQ72" s="7">
        <f t="shared" si="37"/>
        <v>0</v>
      </c>
      <c r="BR72" s="7"/>
      <c r="BS72" s="7"/>
      <c r="BT72" s="7">
        <f t="shared" si="38"/>
        <v>0</v>
      </c>
      <c r="BU72" s="7"/>
      <c r="BV72" s="7"/>
      <c r="BW72" s="7">
        <f t="shared" si="39"/>
        <v>0</v>
      </c>
      <c r="BX72" s="7"/>
      <c r="BY72" s="7">
        <f t="shared" si="18"/>
        <v>19074.32</v>
      </c>
      <c r="BZ72" s="7">
        <f t="shared" si="19"/>
        <v>19074.32</v>
      </c>
      <c r="CA72" s="7"/>
      <c r="CB72" s="7">
        <f t="shared" si="20"/>
        <v>480925.68</v>
      </c>
      <c r="CC72" s="7">
        <f t="shared" si="21"/>
        <v>480925.68</v>
      </c>
      <c r="CD72" s="15">
        <f t="shared" si="22"/>
        <v>3.8148639999999998E-2</v>
      </c>
      <c r="CE72" s="15">
        <f t="shared" si="23"/>
        <v>3.8148639999999998E-2</v>
      </c>
      <c r="CF72" s="450" t="s">
        <v>685</v>
      </c>
      <c r="CG72" s="27">
        <v>500000</v>
      </c>
      <c r="CH72" s="33">
        <v>500000</v>
      </c>
      <c r="CI72" s="33"/>
      <c r="CJ72" s="33"/>
      <c r="CK72" s="36"/>
      <c r="CL72" s="7"/>
      <c r="CM72" s="36"/>
      <c r="CN72" s="7"/>
      <c r="CO72" s="36"/>
      <c r="CP72" s="36"/>
      <c r="CQ72" s="7"/>
      <c r="CR72" s="7"/>
      <c r="CS72" s="7"/>
      <c r="CT72" s="36"/>
      <c r="CU72" s="36"/>
      <c r="CV72" s="7"/>
      <c r="CW72" s="36"/>
      <c r="CX72" s="36"/>
      <c r="CY72" s="7"/>
      <c r="CZ72" s="36"/>
      <c r="DA72" s="36"/>
      <c r="DB72" s="7"/>
      <c r="DC72" s="36"/>
      <c r="DD72" s="7"/>
      <c r="DE72" s="36"/>
      <c r="DF72" s="7"/>
      <c r="DG72" s="36"/>
      <c r="DH72" s="7"/>
      <c r="DI72" s="36"/>
      <c r="DJ72" s="7"/>
      <c r="DK72" s="36"/>
      <c r="DL72" s="7"/>
      <c r="DM72" s="36"/>
      <c r="DN72" s="7"/>
      <c r="DO72" s="36"/>
      <c r="DP72" s="14"/>
      <c r="DQ72" s="14"/>
      <c r="DR72" s="7"/>
      <c r="DS72" s="7"/>
      <c r="DT72" s="7"/>
      <c r="DU72" s="15"/>
      <c r="DV72" s="15"/>
      <c r="DW72" s="291"/>
      <c r="DX72" s="291"/>
      <c r="DY72" s="33"/>
      <c r="DZ72" s="36"/>
      <c r="EA72" s="109"/>
    </row>
    <row r="73" spans="1:131" s="1" customFormat="1" x14ac:dyDescent="0.25">
      <c r="A73" s="10" t="s">
        <v>101</v>
      </c>
      <c r="B73" s="43"/>
      <c r="C73" s="8" t="s">
        <v>644</v>
      </c>
      <c r="D73" s="43"/>
      <c r="E73" s="3">
        <v>305005</v>
      </c>
      <c r="F73" s="353">
        <v>6</v>
      </c>
      <c r="G73" s="359" t="s">
        <v>187</v>
      </c>
      <c r="H73" s="353">
        <v>1506</v>
      </c>
      <c r="I73" s="9" t="s">
        <v>246</v>
      </c>
      <c r="J73" s="10" t="s">
        <v>72</v>
      </c>
      <c r="K73" s="3"/>
      <c r="L73" s="11"/>
      <c r="M73" s="45"/>
      <c r="N73" s="11" t="s">
        <v>186</v>
      </c>
      <c r="O73" s="11" t="s">
        <v>582</v>
      </c>
      <c r="P73" s="11" t="s">
        <v>187</v>
      </c>
      <c r="Q73" s="11" t="s">
        <v>187</v>
      </c>
      <c r="R73" s="3">
        <v>280</v>
      </c>
      <c r="S73" s="11" t="s">
        <v>259</v>
      </c>
      <c r="T73" s="12" t="s">
        <v>26</v>
      </c>
      <c r="U73" s="12" t="s">
        <v>222</v>
      </c>
      <c r="V73" s="12"/>
      <c r="W73" s="12" t="s">
        <v>5</v>
      </c>
      <c r="X73" s="12"/>
      <c r="Y73" s="13" t="s">
        <v>100</v>
      </c>
      <c r="Z73" s="25" t="s">
        <v>92</v>
      </c>
      <c r="AA73" s="10" t="s">
        <v>709</v>
      </c>
      <c r="AB73" s="12" t="s">
        <v>697</v>
      </c>
      <c r="AC73" s="36"/>
      <c r="AD73" s="36"/>
      <c r="AE73" s="7"/>
      <c r="AF73" s="33"/>
      <c r="AG73" s="7"/>
      <c r="AH73" s="33"/>
      <c r="AI73" s="7"/>
      <c r="AJ73" s="409"/>
      <c r="AK73" s="27"/>
      <c r="AL73" s="36">
        <v>431902</v>
      </c>
      <c r="AM73" s="33">
        <f t="shared" si="28"/>
        <v>431902</v>
      </c>
      <c r="AN73" s="36"/>
      <c r="AO73" s="36"/>
      <c r="AP73" s="7">
        <f t="shared" si="29"/>
        <v>0</v>
      </c>
      <c r="AQ73" s="36"/>
      <c r="AR73" s="36"/>
      <c r="AS73" s="7">
        <f t="shared" si="30"/>
        <v>0</v>
      </c>
      <c r="AT73" s="36"/>
      <c r="AU73" s="36"/>
      <c r="AV73" s="7">
        <f t="shared" si="31"/>
        <v>0</v>
      </c>
      <c r="AW73" s="7"/>
      <c r="AX73" s="7"/>
      <c r="AY73" s="7">
        <f t="shared" si="1"/>
        <v>0</v>
      </c>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f t="shared" si="18"/>
        <v>0</v>
      </c>
      <c r="BZ73" s="7">
        <f t="shared" si="19"/>
        <v>0</v>
      </c>
      <c r="CA73" s="7"/>
      <c r="CB73" s="7">
        <f t="shared" si="20"/>
        <v>431902</v>
      </c>
      <c r="CC73" s="7">
        <f t="shared" si="21"/>
        <v>431902</v>
      </c>
      <c r="CD73" s="15">
        <f t="shared" si="22"/>
        <v>0</v>
      </c>
      <c r="CE73" s="15">
        <f t="shared" si="23"/>
        <v>0</v>
      </c>
      <c r="CF73" s="450" t="s">
        <v>685</v>
      </c>
      <c r="CG73" s="27"/>
      <c r="CH73" s="33"/>
      <c r="CI73" s="33"/>
      <c r="CJ73" s="33"/>
      <c r="CK73" s="36"/>
      <c r="CL73" s="7"/>
      <c r="CM73" s="36"/>
      <c r="CN73" s="7"/>
      <c r="CO73" s="36"/>
      <c r="CP73" s="36"/>
      <c r="CQ73" s="7"/>
      <c r="CR73" s="7"/>
      <c r="CS73" s="7"/>
      <c r="CT73" s="36"/>
      <c r="CU73" s="36"/>
      <c r="CV73" s="7"/>
      <c r="CW73" s="36"/>
      <c r="CX73" s="36"/>
      <c r="CY73" s="7"/>
      <c r="CZ73" s="36"/>
      <c r="DA73" s="36"/>
      <c r="DB73" s="7"/>
      <c r="DC73" s="36"/>
      <c r="DD73" s="7"/>
      <c r="DE73" s="36"/>
      <c r="DF73" s="7"/>
      <c r="DG73" s="36"/>
      <c r="DH73" s="7"/>
      <c r="DI73" s="36"/>
      <c r="DJ73" s="7"/>
      <c r="DK73" s="36"/>
      <c r="DL73" s="7"/>
      <c r="DM73" s="36"/>
      <c r="DN73" s="7"/>
      <c r="DO73" s="36"/>
      <c r="DP73" s="14"/>
      <c r="DQ73" s="14"/>
      <c r="DR73" s="7"/>
      <c r="DS73" s="7"/>
      <c r="DT73" s="7"/>
      <c r="DU73" s="15"/>
      <c r="DV73" s="15"/>
      <c r="DW73" s="291"/>
      <c r="DX73" s="291"/>
      <c r="DY73" s="33"/>
      <c r="DZ73" s="36"/>
      <c r="EA73" s="109"/>
    </row>
    <row r="74" spans="1:131" s="1" customFormat="1" x14ac:dyDescent="0.25">
      <c r="A74" s="10" t="s">
        <v>101</v>
      </c>
      <c r="B74" s="24"/>
      <c r="C74" s="8" t="s">
        <v>645</v>
      </c>
      <c r="D74" s="24"/>
      <c r="E74" s="3">
        <v>330010</v>
      </c>
      <c r="F74" s="353">
        <v>4</v>
      </c>
      <c r="G74" s="359" t="s">
        <v>187</v>
      </c>
      <c r="H74" s="353">
        <v>1507</v>
      </c>
      <c r="I74" s="9" t="s">
        <v>246</v>
      </c>
      <c r="J74" s="10" t="s">
        <v>72</v>
      </c>
      <c r="K74" s="3">
        <v>4</v>
      </c>
      <c r="L74" s="11" t="s">
        <v>187</v>
      </c>
      <c r="M74" s="45"/>
      <c r="N74" s="11" t="s">
        <v>186</v>
      </c>
      <c r="O74" s="11" t="s">
        <v>582</v>
      </c>
      <c r="P74" s="11" t="s">
        <v>187</v>
      </c>
      <c r="Q74" s="11" t="s">
        <v>187</v>
      </c>
      <c r="R74" s="3">
        <v>270</v>
      </c>
      <c r="S74" s="3" t="s">
        <v>188</v>
      </c>
      <c r="T74" s="12" t="s">
        <v>26</v>
      </c>
      <c r="U74" s="12" t="s">
        <v>222</v>
      </c>
      <c r="V74" s="12"/>
      <c r="W74" s="12" t="s">
        <v>5</v>
      </c>
      <c r="X74" s="12"/>
      <c r="Y74" s="13" t="s">
        <v>100</v>
      </c>
      <c r="Z74" s="25" t="s">
        <v>92</v>
      </c>
      <c r="AA74" s="10" t="s">
        <v>522</v>
      </c>
      <c r="AB74" s="12" t="s">
        <v>8</v>
      </c>
      <c r="AC74" s="27"/>
      <c r="AD74" s="36"/>
      <c r="AE74" s="7"/>
      <c r="AF74" s="33"/>
      <c r="AG74" s="7">
        <f t="shared" si="24"/>
        <v>0</v>
      </c>
      <c r="AH74" s="33"/>
      <c r="AI74" s="7">
        <f t="shared" si="25"/>
        <v>0</v>
      </c>
      <c r="AJ74" s="409"/>
      <c r="AK74" s="7">
        <v>350000</v>
      </c>
      <c r="AL74" s="33"/>
      <c r="AM74" s="33">
        <f t="shared" si="28"/>
        <v>350000</v>
      </c>
      <c r="AN74" s="33">
        <v>0</v>
      </c>
      <c r="AO74" s="33">
        <v>0</v>
      </c>
      <c r="AP74" s="7">
        <f t="shared" si="29"/>
        <v>0</v>
      </c>
      <c r="AQ74" s="33"/>
      <c r="AR74" s="33"/>
      <c r="AS74" s="7">
        <f t="shared" si="30"/>
        <v>0</v>
      </c>
      <c r="AT74" s="33"/>
      <c r="AU74" s="33"/>
      <c r="AV74" s="7">
        <f t="shared" si="31"/>
        <v>0</v>
      </c>
      <c r="AW74" s="7"/>
      <c r="AX74" s="7"/>
      <c r="AY74" s="7">
        <f t="shared" ref="AY74:AY137" si="107">AW74+AX74</f>
        <v>0</v>
      </c>
      <c r="AZ74" s="7"/>
      <c r="BA74" s="7"/>
      <c r="BB74" s="7">
        <f t="shared" si="32"/>
        <v>0</v>
      </c>
      <c r="BC74" s="7"/>
      <c r="BD74" s="7"/>
      <c r="BE74" s="7">
        <f t="shared" si="33"/>
        <v>0</v>
      </c>
      <c r="BF74" s="7"/>
      <c r="BG74" s="7"/>
      <c r="BH74" s="7">
        <f t="shared" si="34"/>
        <v>0</v>
      </c>
      <c r="BI74" s="7"/>
      <c r="BJ74" s="7"/>
      <c r="BK74" s="7">
        <f t="shared" si="35"/>
        <v>0</v>
      </c>
      <c r="BL74" s="7"/>
      <c r="BM74" s="7"/>
      <c r="BN74" s="7">
        <f t="shared" si="36"/>
        <v>0</v>
      </c>
      <c r="BO74" s="7"/>
      <c r="BP74" s="7"/>
      <c r="BQ74" s="7">
        <f t="shared" si="37"/>
        <v>0</v>
      </c>
      <c r="BR74" s="7"/>
      <c r="BS74" s="7"/>
      <c r="BT74" s="7">
        <f t="shared" si="38"/>
        <v>0</v>
      </c>
      <c r="BU74" s="7"/>
      <c r="BV74" s="7"/>
      <c r="BW74" s="7">
        <f t="shared" si="39"/>
        <v>0</v>
      </c>
      <c r="BX74" s="7"/>
      <c r="BY74" s="7">
        <f t="shared" si="18"/>
        <v>0</v>
      </c>
      <c r="BZ74" s="7">
        <f t="shared" si="19"/>
        <v>0</v>
      </c>
      <c r="CA74" s="7"/>
      <c r="CB74" s="7">
        <f t="shared" si="20"/>
        <v>350000</v>
      </c>
      <c r="CC74" s="7">
        <f t="shared" si="21"/>
        <v>350000</v>
      </c>
      <c r="CD74" s="15">
        <f t="shared" si="22"/>
        <v>0</v>
      </c>
      <c r="CE74" s="15">
        <f t="shared" si="23"/>
        <v>0</v>
      </c>
      <c r="CF74" s="451" t="s">
        <v>685</v>
      </c>
      <c r="CG74" s="27">
        <f>300000-300000</f>
        <v>0</v>
      </c>
      <c r="CH74" s="33">
        <v>0</v>
      </c>
      <c r="CI74" s="33"/>
      <c r="CJ74" s="33"/>
      <c r="CK74" s="36"/>
      <c r="CL74" s="7"/>
      <c r="CM74" s="36"/>
      <c r="CN74" s="7"/>
      <c r="CO74" s="36"/>
      <c r="CP74" s="36"/>
      <c r="CQ74" s="7"/>
      <c r="CR74" s="7"/>
      <c r="CS74" s="7"/>
      <c r="CT74" s="36"/>
      <c r="CU74" s="36"/>
      <c r="CV74" s="7"/>
      <c r="CW74" s="36"/>
      <c r="CX74" s="36"/>
      <c r="CY74" s="7"/>
      <c r="CZ74" s="36"/>
      <c r="DA74" s="36"/>
      <c r="DB74" s="7"/>
      <c r="DC74" s="36"/>
      <c r="DD74" s="7"/>
      <c r="DE74" s="36"/>
      <c r="DF74" s="7"/>
      <c r="DG74" s="36"/>
      <c r="DH74" s="7"/>
      <c r="DI74" s="36"/>
      <c r="DJ74" s="7"/>
      <c r="DK74" s="36"/>
      <c r="DL74" s="7"/>
      <c r="DM74" s="36"/>
      <c r="DN74" s="7"/>
      <c r="DO74" s="36"/>
      <c r="DP74" s="14"/>
      <c r="DQ74" s="14"/>
      <c r="DR74" s="7"/>
      <c r="DS74" s="7"/>
      <c r="DT74" s="7"/>
      <c r="DU74" s="15"/>
      <c r="DV74" s="15"/>
      <c r="DW74" s="15"/>
      <c r="DX74" s="15"/>
      <c r="DY74" s="7"/>
      <c r="DZ74" s="27"/>
      <c r="EA74" s="109"/>
    </row>
    <row r="75" spans="1:131" s="1" customFormat="1" ht="30.75" x14ac:dyDescent="0.25">
      <c r="A75" s="10" t="s">
        <v>101</v>
      </c>
      <c r="B75" s="24" t="s">
        <v>779</v>
      </c>
      <c r="C75" s="8" t="s">
        <v>626</v>
      </c>
      <c r="D75" s="24"/>
      <c r="E75" s="3">
        <v>330010</v>
      </c>
      <c r="F75" s="353">
        <v>5</v>
      </c>
      <c r="G75" s="359" t="s">
        <v>186</v>
      </c>
      <c r="H75" s="353">
        <v>1519</v>
      </c>
      <c r="I75" s="9" t="s">
        <v>246</v>
      </c>
      <c r="J75" s="10" t="s">
        <v>72</v>
      </c>
      <c r="K75" s="3"/>
      <c r="L75" s="11"/>
      <c r="M75" s="45"/>
      <c r="N75" s="11" t="s">
        <v>186</v>
      </c>
      <c r="O75" s="11" t="s">
        <v>189</v>
      </c>
      <c r="P75" s="11" t="s">
        <v>187</v>
      </c>
      <c r="Q75" s="11" t="s">
        <v>187</v>
      </c>
      <c r="R75" s="3">
        <v>270</v>
      </c>
      <c r="S75" s="3" t="s">
        <v>188</v>
      </c>
      <c r="T75" s="12" t="s">
        <v>26</v>
      </c>
      <c r="U75" s="12" t="s">
        <v>222</v>
      </c>
      <c r="V75" s="12"/>
      <c r="W75" s="12" t="s">
        <v>5</v>
      </c>
      <c r="X75" s="12"/>
      <c r="Y75" s="13" t="s">
        <v>100</v>
      </c>
      <c r="Z75" s="25" t="s">
        <v>92</v>
      </c>
      <c r="AA75" s="10" t="s">
        <v>780</v>
      </c>
      <c r="AB75" s="12" t="s">
        <v>8</v>
      </c>
      <c r="AC75" s="27"/>
      <c r="AD75" s="36"/>
      <c r="AE75" s="7"/>
      <c r="AF75" s="33"/>
      <c r="AG75" s="7"/>
      <c r="AH75" s="33"/>
      <c r="AI75" s="7"/>
      <c r="AJ75" s="409"/>
      <c r="AK75" s="7"/>
      <c r="AL75" s="33"/>
      <c r="AM75" s="33">
        <v>18500</v>
      </c>
      <c r="AN75" s="33"/>
      <c r="AO75" s="33"/>
      <c r="AP75" s="7"/>
      <c r="AQ75" s="33"/>
      <c r="AR75" s="33"/>
      <c r="AS75" s="7"/>
      <c r="AT75" s="33"/>
      <c r="AU75" s="33"/>
      <c r="AV75" s="7">
        <f t="shared" si="31"/>
        <v>0</v>
      </c>
      <c r="AW75" s="33"/>
      <c r="AX75" s="33"/>
      <c r="AY75" s="7">
        <f t="shared" si="107"/>
        <v>0</v>
      </c>
      <c r="AZ75" s="33"/>
      <c r="BA75" s="33"/>
      <c r="BB75" s="7"/>
      <c r="BC75" s="33"/>
      <c r="BD75" s="33"/>
      <c r="BE75" s="7"/>
      <c r="BF75" s="33"/>
      <c r="BG75" s="33"/>
      <c r="BH75" s="7"/>
      <c r="BI75" s="33"/>
      <c r="BJ75" s="33"/>
      <c r="BK75" s="7"/>
      <c r="BL75" s="33"/>
      <c r="BM75" s="33"/>
      <c r="BN75" s="7"/>
      <c r="BO75" s="33"/>
      <c r="BP75" s="33"/>
      <c r="BQ75" s="7"/>
      <c r="BR75" s="33"/>
      <c r="BS75" s="33"/>
      <c r="BT75" s="7"/>
      <c r="BU75" s="33"/>
      <c r="BV75" s="33"/>
      <c r="BW75" s="7"/>
      <c r="BX75" s="33">
        <v>14773.5</v>
      </c>
      <c r="BY75" s="7">
        <f t="shared" si="18"/>
        <v>0</v>
      </c>
      <c r="BZ75" s="7">
        <f t="shared" si="19"/>
        <v>0</v>
      </c>
      <c r="CA75" s="33"/>
      <c r="CB75" s="7">
        <f t="shared" si="20"/>
        <v>18500</v>
      </c>
      <c r="CC75" s="7">
        <f t="shared" si="21"/>
        <v>18500</v>
      </c>
      <c r="CD75" s="15">
        <f t="shared" si="22"/>
        <v>0</v>
      </c>
      <c r="CE75" s="15">
        <f t="shared" si="23"/>
        <v>0</v>
      </c>
      <c r="CF75" s="450" t="s">
        <v>685</v>
      </c>
      <c r="CG75" s="36"/>
      <c r="CH75" s="33"/>
      <c r="CI75" s="33"/>
      <c r="CJ75" s="33"/>
      <c r="CK75" s="36"/>
      <c r="CL75" s="7"/>
      <c r="CM75" s="36"/>
      <c r="CN75" s="7"/>
      <c r="CO75" s="36"/>
      <c r="CP75" s="36"/>
      <c r="CQ75" s="7"/>
      <c r="CR75" s="7"/>
      <c r="CS75" s="7"/>
      <c r="CT75" s="36"/>
      <c r="CU75" s="36"/>
      <c r="CV75" s="7"/>
      <c r="CW75" s="36"/>
      <c r="CX75" s="36"/>
      <c r="CY75" s="7"/>
      <c r="CZ75" s="36"/>
      <c r="DA75" s="36"/>
      <c r="DB75" s="7"/>
      <c r="DC75" s="36"/>
      <c r="DD75" s="7"/>
      <c r="DE75" s="36"/>
      <c r="DF75" s="7"/>
      <c r="DG75" s="36"/>
      <c r="DH75" s="7"/>
      <c r="DI75" s="36"/>
      <c r="DJ75" s="7"/>
      <c r="DK75" s="36"/>
      <c r="DL75" s="7"/>
      <c r="DM75" s="36"/>
      <c r="DN75" s="7"/>
      <c r="DO75" s="36"/>
      <c r="DP75" s="14"/>
      <c r="DQ75" s="14"/>
      <c r="DR75" s="7"/>
      <c r="DS75" s="7"/>
      <c r="DT75" s="7"/>
      <c r="DU75" s="15"/>
      <c r="DV75" s="15"/>
      <c r="DW75" s="15"/>
      <c r="DX75" s="15"/>
      <c r="DY75" s="7"/>
      <c r="DZ75" s="27"/>
      <c r="EA75" s="109"/>
    </row>
    <row r="76" spans="1:131" s="1" customFormat="1" ht="30.75" x14ac:dyDescent="0.25">
      <c r="A76" s="10" t="s">
        <v>101</v>
      </c>
      <c r="B76" s="24" t="s">
        <v>779</v>
      </c>
      <c r="C76" s="8" t="s">
        <v>626</v>
      </c>
      <c r="D76" s="24"/>
      <c r="E76" s="3">
        <v>330010</v>
      </c>
      <c r="F76" s="353">
        <v>5</v>
      </c>
      <c r="G76" s="359" t="s">
        <v>186</v>
      </c>
      <c r="H76" s="353">
        <v>1521</v>
      </c>
      <c r="I76" s="9" t="s">
        <v>246</v>
      </c>
      <c r="J76" s="10" t="s">
        <v>72</v>
      </c>
      <c r="K76" s="3">
        <v>5</v>
      </c>
      <c r="L76" s="11" t="s">
        <v>186</v>
      </c>
      <c r="M76" s="45"/>
      <c r="N76" s="11" t="s">
        <v>186</v>
      </c>
      <c r="O76" s="11" t="s">
        <v>189</v>
      </c>
      <c r="P76" s="11" t="s">
        <v>187</v>
      </c>
      <c r="Q76" s="11" t="s">
        <v>187</v>
      </c>
      <c r="R76" s="3">
        <v>270</v>
      </c>
      <c r="S76" s="3" t="s">
        <v>188</v>
      </c>
      <c r="T76" s="12" t="s">
        <v>26</v>
      </c>
      <c r="U76" s="12" t="s">
        <v>222</v>
      </c>
      <c r="V76" s="12"/>
      <c r="W76" s="12" t="s">
        <v>5</v>
      </c>
      <c r="X76" s="12"/>
      <c r="Y76" s="13" t="s">
        <v>100</v>
      </c>
      <c r="Z76" s="25" t="s">
        <v>92</v>
      </c>
      <c r="AA76" s="10" t="s">
        <v>791</v>
      </c>
      <c r="AB76" s="12" t="s">
        <v>8</v>
      </c>
      <c r="AC76" s="27"/>
      <c r="AD76" s="36"/>
      <c r="AE76" s="7"/>
      <c r="AF76" s="33"/>
      <c r="AG76" s="7"/>
      <c r="AH76" s="33"/>
      <c r="AI76" s="7"/>
      <c r="AJ76" s="409"/>
      <c r="AK76" s="7"/>
      <c r="AL76" s="33"/>
      <c r="AM76" s="33">
        <v>12500</v>
      </c>
      <c r="AN76" s="33"/>
      <c r="AO76" s="33"/>
      <c r="AP76" s="7"/>
      <c r="AQ76" s="33"/>
      <c r="AR76" s="33"/>
      <c r="AS76" s="7"/>
      <c r="AT76" s="33"/>
      <c r="AU76" s="33"/>
      <c r="AV76" s="7"/>
      <c r="AW76" s="33"/>
      <c r="AX76" s="33"/>
      <c r="AY76" s="7">
        <f t="shared" si="107"/>
        <v>0</v>
      </c>
      <c r="AZ76" s="33"/>
      <c r="BA76" s="33"/>
      <c r="BB76" s="7"/>
      <c r="BC76" s="33"/>
      <c r="BD76" s="33"/>
      <c r="BE76" s="7"/>
      <c r="BF76" s="33"/>
      <c r="BG76" s="33"/>
      <c r="BH76" s="7"/>
      <c r="BI76" s="33"/>
      <c r="BJ76" s="33"/>
      <c r="BK76" s="7"/>
      <c r="BL76" s="33"/>
      <c r="BM76" s="33"/>
      <c r="BN76" s="7"/>
      <c r="BO76" s="33"/>
      <c r="BP76" s="33"/>
      <c r="BQ76" s="7"/>
      <c r="BR76" s="33"/>
      <c r="BS76" s="33"/>
      <c r="BT76" s="7"/>
      <c r="BU76" s="33"/>
      <c r="BV76" s="33"/>
      <c r="BW76" s="7"/>
      <c r="BX76" s="33">
        <v>10140</v>
      </c>
      <c r="BY76" s="7">
        <f t="shared" si="18"/>
        <v>0</v>
      </c>
      <c r="BZ76" s="7">
        <f t="shared" si="19"/>
        <v>0</v>
      </c>
      <c r="CA76" s="33"/>
      <c r="CB76" s="7">
        <f t="shared" si="20"/>
        <v>12500</v>
      </c>
      <c r="CC76" s="7">
        <f t="shared" si="21"/>
        <v>12500</v>
      </c>
      <c r="CD76" s="15">
        <f t="shared" si="22"/>
        <v>0</v>
      </c>
      <c r="CE76" s="15">
        <f t="shared" si="23"/>
        <v>0</v>
      </c>
      <c r="CF76" s="450" t="s">
        <v>685</v>
      </c>
      <c r="CG76" s="36"/>
      <c r="CH76" s="33"/>
      <c r="CI76" s="33"/>
      <c r="CJ76" s="33"/>
      <c r="CK76" s="36"/>
      <c r="CL76" s="7"/>
      <c r="CM76" s="36"/>
      <c r="CN76" s="7"/>
      <c r="CO76" s="36"/>
      <c r="CP76" s="36"/>
      <c r="CQ76" s="7"/>
      <c r="CR76" s="7"/>
      <c r="CS76" s="7"/>
      <c r="CT76" s="36"/>
      <c r="CU76" s="36"/>
      <c r="CV76" s="7"/>
      <c r="CW76" s="36"/>
      <c r="CX76" s="36"/>
      <c r="CY76" s="7"/>
      <c r="CZ76" s="36"/>
      <c r="DA76" s="36"/>
      <c r="DB76" s="7"/>
      <c r="DC76" s="36"/>
      <c r="DD76" s="7"/>
      <c r="DE76" s="36"/>
      <c r="DF76" s="7"/>
      <c r="DG76" s="36"/>
      <c r="DH76" s="7"/>
      <c r="DI76" s="36"/>
      <c r="DJ76" s="7"/>
      <c r="DK76" s="36"/>
      <c r="DL76" s="7"/>
      <c r="DM76" s="36"/>
      <c r="DN76" s="7"/>
      <c r="DO76" s="36"/>
      <c r="DP76" s="14"/>
      <c r="DQ76" s="14"/>
      <c r="DR76" s="7"/>
      <c r="DS76" s="7"/>
      <c r="DT76" s="7"/>
      <c r="DU76" s="15"/>
      <c r="DV76" s="15"/>
      <c r="DW76" s="15"/>
      <c r="DX76" s="15"/>
      <c r="DY76" s="7"/>
      <c r="DZ76" s="27"/>
      <c r="EA76" s="109"/>
    </row>
    <row r="77" spans="1:131" s="1" customFormat="1" x14ac:dyDescent="0.25">
      <c r="A77" s="10" t="s">
        <v>101</v>
      </c>
      <c r="B77" s="24" t="s">
        <v>744</v>
      </c>
      <c r="C77" s="8" t="s">
        <v>626</v>
      </c>
      <c r="D77" s="24"/>
      <c r="E77" s="3">
        <v>330015</v>
      </c>
      <c r="F77" s="353">
        <v>5</v>
      </c>
      <c r="G77" s="359" t="s">
        <v>186</v>
      </c>
      <c r="H77" s="353">
        <v>1517</v>
      </c>
      <c r="I77" s="9" t="s">
        <v>246</v>
      </c>
      <c r="J77" s="10" t="s">
        <v>72</v>
      </c>
      <c r="K77" s="3">
        <v>5</v>
      </c>
      <c r="L77" s="11" t="s">
        <v>186</v>
      </c>
      <c r="M77" s="45"/>
      <c r="N77" s="11" t="s">
        <v>186</v>
      </c>
      <c r="O77" s="11" t="s">
        <v>189</v>
      </c>
      <c r="P77" s="11" t="s">
        <v>187</v>
      </c>
      <c r="Q77" s="11" t="s">
        <v>187</v>
      </c>
      <c r="R77" s="3">
        <v>270</v>
      </c>
      <c r="S77" s="11" t="s">
        <v>188</v>
      </c>
      <c r="T77" s="12" t="s">
        <v>26</v>
      </c>
      <c r="U77" s="12" t="s">
        <v>222</v>
      </c>
      <c r="V77" s="12"/>
      <c r="W77" s="12" t="s">
        <v>5</v>
      </c>
      <c r="X77" s="12"/>
      <c r="Y77" s="13" t="s">
        <v>100</v>
      </c>
      <c r="Z77" s="25" t="s">
        <v>92</v>
      </c>
      <c r="AA77" s="10" t="s">
        <v>745</v>
      </c>
      <c r="AB77" s="12" t="s">
        <v>8</v>
      </c>
      <c r="AC77" s="27"/>
      <c r="AD77" s="36"/>
      <c r="AE77" s="7"/>
      <c r="AF77" s="33"/>
      <c r="AG77" s="7"/>
      <c r="AH77" s="33"/>
      <c r="AI77" s="7"/>
      <c r="AJ77" s="409"/>
      <c r="AK77" s="7"/>
      <c r="AL77" s="33"/>
      <c r="AM77" s="33">
        <v>13000</v>
      </c>
      <c r="AN77" s="33">
        <v>0</v>
      </c>
      <c r="AO77" s="33"/>
      <c r="AP77" s="7">
        <f t="shared" si="29"/>
        <v>0</v>
      </c>
      <c r="AQ77" s="33"/>
      <c r="AR77" s="33"/>
      <c r="AS77" s="7">
        <f t="shared" si="30"/>
        <v>0</v>
      </c>
      <c r="AT77" s="33"/>
      <c r="AU77" s="33"/>
      <c r="AV77" s="7">
        <f t="shared" si="31"/>
        <v>0</v>
      </c>
      <c r="AW77" s="33">
        <v>10251</v>
      </c>
      <c r="AX77" s="33"/>
      <c r="AY77" s="7">
        <f t="shared" si="107"/>
        <v>10251</v>
      </c>
      <c r="AZ77" s="33"/>
      <c r="BA77" s="33"/>
      <c r="BB77" s="7"/>
      <c r="BC77" s="33"/>
      <c r="BD77" s="33"/>
      <c r="BE77" s="7"/>
      <c r="BF77" s="33"/>
      <c r="BG77" s="33"/>
      <c r="BH77" s="7"/>
      <c r="BI77" s="33"/>
      <c r="BJ77" s="33"/>
      <c r="BK77" s="7"/>
      <c r="BL77" s="33"/>
      <c r="BM77" s="33"/>
      <c r="BN77" s="7"/>
      <c r="BO77" s="33"/>
      <c r="BP77" s="33"/>
      <c r="BQ77" s="7"/>
      <c r="BR77" s="33"/>
      <c r="BS77" s="33"/>
      <c r="BT77" s="7"/>
      <c r="BU77" s="33"/>
      <c r="BV77" s="33"/>
      <c r="BW77" s="7"/>
      <c r="BX77" s="33"/>
      <c r="BY77" s="7">
        <f t="shared" si="18"/>
        <v>10251</v>
      </c>
      <c r="BZ77" s="7">
        <f t="shared" si="19"/>
        <v>10251</v>
      </c>
      <c r="CA77" s="33"/>
      <c r="CB77" s="7">
        <f t="shared" si="20"/>
        <v>2749</v>
      </c>
      <c r="CC77" s="7">
        <f t="shared" si="21"/>
        <v>2749</v>
      </c>
      <c r="CD77" s="15">
        <f t="shared" si="22"/>
        <v>0.78853846153846152</v>
      </c>
      <c r="CE77" s="15">
        <f t="shared" si="23"/>
        <v>0.78853846153846152</v>
      </c>
      <c r="CF77" s="450" t="s">
        <v>824</v>
      </c>
      <c r="CG77" s="36"/>
      <c r="CH77" s="33"/>
      <c r="CI77" s="33"/>
      <c r="CJ77" s="33"/>
      <c r="CK77" s="36"/>
      <c r="CL77" s="7"/>
      <c r="CM77" s="36"/>
      <c r="CN77" s="7"/>
      <c r="CO77" s="36"/>
      <c r="CP77" s="36"/>
      <c r="CQ77" s="7"/>
      <c r="CR77" s="7"/>
      <c r="CS77" s="7"/>
      <c r="CT77" s="36"/>
      <c r="CU77" s="36"/>
      <c r="CV77" s="7"/>
      <c r="CW77" s="36"/>
      <c r="CX77" s="36"/>
      <c r="CY77" s="7"/>
      <c r="CZ77" s="36"/>
      <c r="DA77" s="36"/>
      <c r="DB77" s="7"/>
      <c r="DC77" s="36"/>
      <c r="DD77" s="7"/>
      <c r="DE77" s="36"/>
      <c r="DF77" s="7"/>
      <c r="DG77" s="36"/>
      <c r="DH77" s="7"/>
      <c r="DI77" s="36"/>
      <c r="DJ77" s="7"/>
      <c r="DK77" s="36"/>
      <c r="DL77" s="7"/>
      <c r="DM77" s="36"/>
      <c r="DN77" s="7"/>
      <c r="DO77" s="36"/>
      <c r="DP77" s="14"/>
      <c r="DQ77" s="14"/>
      <c r="DR77" s="7"/>
      <c r="DS77" s="7"/>
      <c r="DT77" s="7"/>
      <c r="DU77" s="15"/>
      <c r="DV77" s="15"/>
      <c r="DW77" s="15"/>
      <c r="DX77" s="15"/>
      <c r="DY77" s="7"/>
      <c r="DZ77" s="27"/>
      <c r="EA77" s="109"/>
    </row>
    <row r="78" spans="1:131" s="1" customFormat="1" x14ac:dyDescent="0.25">
      <c r="A78" s="10" t="s">
        <v>101</v>
      </c>
      <c r="B78" s="24"/>
      <c r="C78" s="8" t="s">
        <v>646</v>
      </c>
      <c r="D78" s="24"/>
      <c r="E78" s="3">
        <v>330020</v>
      </c>
      <c r="F78" s="353">
        <v>4</v>
      </c>
      <c r="G78" s="359" t="s">
        <v>187</v>
      </c>
      <c r="H78" s="353">
        <v>1508</v>
      </c>
      <c r="I78" s="9" t="s">
        <v>246</v>
      </c>
      <c r="J78" s="10" t="s">
        <v>72</v>
      </c>
      <c r="K78" s="3">
        <v>4</v>
      </c>
      <c r="L78" s="11" t="s">
        <v>187</v>
      </c>
      <c r="M78" s="45"/>
      <c r="N78" s="11" t="s">
        <v>186</v>
      </c>
      <c r="O78" s="11" t="s">
        <v>582</v>
      </c>
      <c r="P78" s="11" t="s">
        <v>187</v>
      </c>
      <c r="Q78" s="11" t="s">
        <v>187</v>
      </c>
      <c r="R78" s="3">
        <v>260</v>
      </c>
      <c r="S78" s="3" t="s">
        <v>188</v>
      </c>
      <c r="T78" s="12" t="s">
        <v>260</v>
      </c>
      <c r="U78" s="12" t="s">
        <v>222</v>
      </c>
      <c r="V78" s="12"/>
      <c r="W78" s="12"/>
      <c r="X78" s="12"/>
      <c r="Y78" s="13" t="s">
        <v>100</v>
      </c>
      <c r="Z78" s="25" t="s">
        <v>92</v>
      </c>
      <c r="AA78" s="10" t="s">
        <v>523</v>
      </c>
      <c r="AB78" s="12" t="s">
        <v>8</v>
      </c>
      <c r="AC78" s="27"/>
      <c r="AD78" s="36"/>
      <c r="AE78" s="7"/>
      <c r="AF78" s="33"/>
      <c r="AG78" s="7">
        <f t="shared" si="24"/>
        <v>0</v>
      </c>
      <c r="AH78" s="33"/>
      <c r="AI78" s="7">
        <f t="shared" si="25"/>
        <v>0</v>
      </c>
      <c r="AJ78" s="409"/>
      <c r="AK78" s="27">
        <v>1500000</v>
      </c>
      <c r="AL78" s="36"/>
      <c r="AM78" s="33">
        <f t="shared" si="28"/>
        <v>1500000</v>
      </c>
      <c r="AN78" s="36">
        <v>0</v>
      </c>
      <c r="AO78" s="36">
        <v>0</v>
      </c>
      <c r="AP78" s="7">
        <f t="shared" si="29"/>
        <v>0</v>
      </c>
      <c r="AQ78" s="36"/>
      <c r="AR78" s="36"/>
      <c r="AS78" s="7">
        <f t="shared" si="30"/>
        <v>0</v>
      </c>
      <c r="AT78" s="36"/>
      <c r="AU78" s="36"/>
      <c r="AV78" s="7">
        <f t="shared" si="31"/>
        <v>0</v>
      </c>
      <c r="AW78" s="33"/>
      <c r="AX78" s="33"/>
      <c r="AY78" s="7">
        <f t="shared" si="107"/>
        <v>0</v>
      </c>
      <c r="AZ78" s="33"/>
      <c r="BA78" s="33"/>
      <c r="BB78" s="7">
        <f t="shared" si="32"/>
        <v>0</v>
      </c>
      <c r="BC78" s="33"/>
      <c r="BD78" s="33"/>
      <c r="BE78" s="7">
        <f t="shared" si="33"/>
        <v>0</v>
      </c>
      <c r="BF78" s="33"/>
      <c r="BG78" s="33"/>
      <c r="BH78" s="7">
        <f t="shared" si="34"/>
        <v>0</v>
      </c>
      <c r="BI78" s="33"/>
      <c r="BJ78" s="33"/>
      <c r="BK78" s="7">
        <f t="shared" si="35"/>
        <v>0</v>
      </c>
      <c r="BL78" s="33"/>
      <c r="BM78" s="33"/>
      <c r="BN78" s="7">
        <f t="shared" si="36"/>
        <v>0</v>
      </c>
      <c r="BO78" s="33"/>
      <c r="BP78" s="33"/>
      <c r="BQ78" s="7">
        <f t="shared" si="37"/>
        <v>0</v>
      </c>
      <c r="BR78" s="33"/>
      <c r="BS78" s="33"/>
      <c r="BT78" s="7">
        <f t="shared" si="38"/>
        <v>0</v>
      </c>
      <c r="BU78" s="33"/>
      <c r="BV78" s="33"/>
      <c r="BW78" s="7">
        <f t="shared" si="39"/>
        <v>0</v>
      </c>
      <c r="BX78" s="33"/>
      <c r="BY78" s="7">
        <f t="shared" si="18"/>
        <v>0</v>
      </c>
      <c r="BZ78" s="7">
        <f t="shared" si="19"/>
        <v>0</v>
      </c>
      <c r="CA78" s="33"/>
      <c r="CB78" s="7">
        <f t="shared" si="20"/>
        <v>1500000</v>
      </c>
      <c r="CC78" s="7">
        <f t="shared" si="21"/>
        <v>1500000</v>
      </c>
      <c r="CD78" s="15">
        <f t="shared" si="22"/>
        <v>0</v>
      </c>
      <c r="CE78" s="15">
        <f t="shared" si="23"/>
        <v>0</v>
      </c>
      <c r="CF78" s="450" t="s">
        <v>867</v>
      </c>
      <c r="CG78" s="36">
        <v>1500000</v>
      </c>
      <c r="CH78" s="36"/>
      <c r="CI78" s="36"/>
      <c r="CJ78" s="36"/>
      <c r="CK78" s="36"/>
      <c r="CL78" s="7"/>
      <c r="CM78" s="36"/>
      <c r="CN78" s="7"/>
      <c r="CO78" s="36"/>
      <c r="CP78" s="36"/>
      <c r="CQ78" s="7"/>
      <c r="CR78" s="7"/>
      <c r="CS78" s="7"/>
      <c r="CT78" s="36"/>
      <c r="CU78" s="36"/>
      <c r="CV78" s="7"/>
      <c r="CW78" s="36"/>
      <c r="CX78" s="36"/>
      <c r="CY78" s="7"/>
      <c r="CZ78" s="36"/>
      <c r="DA78" s="36"/>
      <c r="DB78" s="7"/>
      <c r="DC78" s="36"/>
      <c r="DD78" s="7"/>
      <c r="DE78" s="36"/>
      <c r="DF78" s="7"/>
      <c r="DG78" s="36"/>
      <c r="DH78" s="7"/>
      <c r="DI78" s="36"/>
      <c r="DJ78" s="7"/>
      <c r="DK78" s="36"/>
      <c r="DL78" s="7"/>
      <c r="DM78" s="36"/>
      <c r="DN78" s="7"/>
      <c r="DO78" s="36"/>
      <c r="DP78" s="14"/>
      <c r="DQ78" s="14"/>
      <c r="DR78" s="7"/>
      <c r="DS78" s="7"/>
      <c r="DT78" s="7"/>
      <c r="DU78" s="15"/>
      <c r="DV78" s="15"/>
      <c r="DW78" s="15"/>
      <c r="DX78" s="15"/>
      <c r="DY78" s="7"/>
      <c r="DZ78" s="27"/>
      <c r="EA78" s="109"/>
    </row>
    <row r="79" spans="1:131" s="1" customFormat="1" ht="16.5" thickBot="1" x14ac:dyDescent="0.3">
      <c r="A79" s="38"/>
      <c r="B79" s="29"/>
      <c r="C79" s="38"/>
      <c r="D79" s="29"/>
      <c r="E79" s="16"/>
      <c r="F79" s="355"/>
      <c r="G79" s="355"/>
      <c r="H79" s="355"/>
      <c r="I79" s="37"/>
      <c r="J79" s="38"/>
      <c r="K79" s="16"/>
      <c r="L79" s="16"/>
      <c r="M79" s="57"/>
      <c r="N79" s="16"/>
      <c r="O79" s="16"/>
      <c r="P79" s="16"/>
      <c r="Q79" s="16"/>
      <c r="R79" s="16"/>
      <c r="S79" s="16"/>
      <c r="T79" s="28"/>
      <c r="U79" s="28"/>
      <c r="V79" s="28"/>
      <c r="W79" s="28"/>
      <c r="X79" s="28"/>
      <c r="Y79" s="39"/>
      <c r="Z79" s="30"/>
      <c r="AA79" s="56" t="s">
        <v>580</v>
      </c>
      <c r="AB79" s="28"/>
      <c r="AC79" s="42" t="e">
        <f>SUM(#REF!)</f>
        <v>#REF!</v>
      </c>
      <c r="AD79" s="42" t="e">
        <f>SUM(#REF!)</f>
        <v>#REF!</v>
      </c>
      <c r="AE79" s="42" t="e">
        <f>SUM(#REF!)</f>
        <v>#REF!</v>
      </c>
      <c r="AF79" s="42" t="e">
        <f>SUM(#REF!)</f>
        <v>#REF!</v>
      </c>
      <c r="AG79" s="7" t="e">
        <f t="shared" si="24"/>
        <v>#REF!</v>
      </c>
      <c r="AH79" s="42">
        <f>SUBTOTAL(9,AH72:AH74)</f>
        <v>0</v>
      </c>
      <c r="AI79" s="7" t="e">
        <f t="shared" si="25"/>
        <v>#REF!</v>
      </c>
      <c r="AJ79" s="410">
        <f>SUBTOTAL(9,AJ72:AJ74)</f>
        <v>0</v>
      </c>
      <c r="AK79" s="42">
        <f t="shared" ref="AK79:BX79" si="108">SUM(AK72:AK78)</f>
        <v>2350000</v>
      </c>
      <c r="AL79" s="42">
        <f t="shared" si="108"/>
        <v>431902</v>
      </c>
      <c r="AM79" s="42">
        <f t="shared" si="108"/>
        <v>2825902</v>
      </c>
      <c r="AN79" s="42">
        <f t="shared" si="108"/>
        <v>19074.32</v>
      </c>
      <c r="AO79" s="42">
        <f t="shared" si="108"/>
        <v>0</v>
      </c>
      <c r="AP79" s="42">
        <f t="shared" si="108"/>
        <v>19074.32</v>
      </c>
      <c r="AQ79" s="42">
        <f t="shared" si="108"/>
        <v>0</v>
      </c>
      <c r="AR79" s="42">
        <f t="shared" si="108"/>
        <v>0</v>
      </c>
      <c r="AS79" s="42">
        <f t="shared" si="108"/>
        <v>0</v>
      </c>
      <c r="AT79" s="42">
        <f t="shared" si="108"/>
        <v>0</v>
      </c>
      <c r="AU79" s="42">
        <f t="shared" si="108"/>
        <v>0</v>
      </c>
      <c r="AV79" s="42">
        <f t="shared" si="108"/>
        <v>0</v>
      </c>
      <c r="AW79" s="42">
        <f t="shared" si="108"/>
        <v>10251</v>
      </c>
      <c r="AX79" s="42">
        <f t="shared" si="108"/>
        <v>0</v>
      </c>
      <c r="AY79" s="20">
        <f t="shared" si="107"/>
        <v>10251</v>
      </c>
      <c r="AZ79" s="42">
        <f t="shared" si="108"/>
        <v>0</v>
      </c>
      <c r="BA79" s="42">
        <f t="shared" si="108"/>
        <v>0</v>
      </c>
      <c r="BB79" s="42">
        <f t="shared" si="108"/>
        <v>0</v>
      </c>
      <c r="BC79" s="42">
        <f t="shared" si="108"/>
        <v>0</v>
      </c>
      <c r="BD79" s="42">
        <f t="shared" si="108"/>
        <v>0</v>
      </c>
      <c r="BE79" s="42">
        <f t="shared" si="108"/>
        <v>0</v>
      </c>
      <c r="BF79" s="42">
        <f t="shared" si="108"/>
        <v>0</v>
      </c>
      <c r="BG79" s="42">
        <f t="shared" si="108"/>
        <v>0</v>
      </c>
      <c r="BH79" s="42">
        <f t="shared" si="108"/>
        <v>0</v>
      </c>
      <c r="BI79" s="42">
        <f t="shared" si="108"/>
        <v>0</v>
      </c>
      <c r="BJ79" s="42">
        <f t="shared" si="108"/>
        <v>0</v>
      </c>
      <c r="BK79" s="42">
        <f t="shared" si="108"/>
        <v>0</v>
      </c>
      <c r="BL79" s="42">
        <f t="shared" si="108"/>
        <v>0</v>
      </c>
      <c r="BM79" s="42">
        <f t="shared" si="108"/>
        <v>0</v>
      </c>
      <c r="BN79" s="42">
        <f t="shared" si="108"/>
        <v>0</v>
      </c>
      <c r="BO79" s="42">
        <f t="shared" si="108"/>
        <v>0</v>
      </c>
      <c r="BP79" s="42">
        <f t="shared" si="108"/>
        <v>0</v>
      </c>
      <c r="BQ79" s="42">
        <f t="shared" si="108"/>
        <v>0</v>
      </c>
      <c r="BR79" s="42">
        <f t="shared" si="108"/>
        <v>0</v>
      </c>
      <c r="BS79" s="42">
        <f t="shared" si="108"/>
        <v>0</v>
      </c>
      <c r="BT79" s="42">
        <f t="shared" si="108"/>
        <v>0</v>
      </c>
      <c r="BU79" s="42">
        <f t="shared" si="108"/>
        <v>0</v>
      </c>
      <c r="BV79" s="42">
        <f t="shared" si="108"/>
        <v>0</v>
      </c>
      <c r="BW79" s="42">
        <f t="shared" si="108"/>
        <v>0</v>
      </c>
      <c r="BX79" s="42">
        <f t="shared" si="108"/>
        <v>24913.5</v>
      </c>
      <c r="BY79" s="20">
        <f t="shared" si="18"/>
        <v>29325.32</v>
      </c>
      <c r="BZ79" s="20">
        <f t="shared" si="19"/>
        <v>29325.32</v>
      </c>
      <c r="CA79" s="42">
        <f>SUM(CA72:CA78)</f>
        <v>0</v>
      </c>
      <c r="CB79" s="20">
        <f t="shared" si="20"/>
        <v>2796576.68</v>
      </c>
      <c r="CC79" s="20">
        <f t="shared" si="21"/>
        <v>2796576.68</v>
      </c>
      <c r="CD79" s="21">
        <f t="shared" si="22"/>
        <v>1.0377330848698929E-2</v>
      </c>
      <c r="CE79" s="21">
        <f t="shared" si="23"/>
        <v>1.0377330848698929E-2</v>
      </c>
      <c r="CF79" s="451"/>
      <c r="CG79" s="42">
        <f>SUBTOTAL(9,CG72:CG78)</f>
        <v>2000000</v>
      </c>
      <c r="CH79" s="42">
        <f>SUBTOTAL(9,CH72:CH78)</f>
        <v>500000</v>
      </c>
      <c r="CI79" s="42">
        <f>SUBTOTAL(9,CI72:CI78)</f>
        <v>0</v>
      </c>
      <c r="CJ79" s="42">
        <f>SUBTOTAL(9,CJ72:CJ78)</f>
        <v>0</v>
      </c>
      <c r="CK79" s="42" t="e">
        <f>SUM(#REF!)</f>
        <v>#REF!</v>
      </c>
      <c r="CL79" s="42" t="e">
        <f>SUM(#REF!)</f>
        <v>#REF!</v>
      </c>
      <c r="CM79" s="42" t="e">
        <f>SUM(#REF!)</f>
        <v>#REF!</v>
      </c>
      <c r="CN79" s="42" t="e">
        <f>SUM(#REF!)</f>
        <v>#REF!</v>
      </c>
      <c r="CO79" s="42" t="e">
        <f>SUM(#REF!)</f>
        <v>#REF!</v>
      </c>
      <c r="CP79" s="42" t="e">
        <f>SUM(#REF!)</f>
        <v>#REF!</v>
      </c>
      <c r="CQ79" s="42" t="e">
        <f>SUM(#REF!)</f>
        <v>#REF!</v>
      </c>
      <c r="CR79" s="42" t="e">
        <f>SUM(#REF!)</f>
        <v>#REF!</v>
      </c>
      <c r="CS79" s="42" t="e">
        <f>SUM(#REF!)</f>
        <v>#REF!</v>
      </c>
      <c r="CT79" s="42" t="e">
        <f>SUM(#REF!)</f>
        <v>#REF!</v>
      </c>
      <c r="CU79" s="42" t="e">
        <f>SUM(#REF!)</f>
        <v>#REF!</v>
      </c>
      <c r="CV79" s="42" t="e">
        <f>SUM(#REF!)</f>
        <v>#REF!</v>
      </c>
      <c r="CW79" s="42" t="e">
        <f>SUM(#REF!)</f>
        <v>#REF!</v>
      </c>
      <c r="CX79" s="42" t="e">
        <f>SUM(#REF!)</f>
        <v>#REF!</v>
      </c>
      <c r="CY79" s="42" t="e">
        <f>SUM(#REF!)</f>
        <v>#REF!</v>
      </c>
      <c r="CZ79" s="42" t="e">
        <f>SUM(#REF!)</f>
        <v>#REF!</v>
      </c>
      <c r="DA79" s="42" t="e">
        <f>SUM(#REF!)</f>
        <v>#REF!</v>
      </c>
      <c r="DB79" s="42" t="e">
        <f>SUM(#REF!)</f>
        <v>#REF!</v>
      </c>
      <c r="DC79" s="42" t="e">
        <f>SUM(#REF!)</f>
        <v>#REF!</v>
      </c>
      <c r="DD79" s="42" t="e">
        <f>SUM(#REF!)</f>
        <v>#REF!</v>
      </c>
      <c r="DE79" s="42" t="e">
        <f>SUM(#REF!)</f>
        <v>#REF!</v>
      </c>
      <c r="DF79" s="42" t="e">
        <f>SUM(#REF!)</f>
        <v>#REF!</v>
      </c>
      <c r="DG79" s="42" t="e">
        <f>SUM(#REF!)</f>
        <v>#REF!</v>
      </c>
      <c r="DH79" s="42" t="e">
        <f>SUM(#REF!)</f>
        <v>#REF!</v>
      </c>
      <c r="DI79" s="42" t="e">
        <f>SUM(#REF!)</f>
        <v>#REF!</v>
      </c>
      <c r="DJ79" s="42" t="e">
        <f>SUM(#REF!)</f>
        <v>#REF!</v>
      </c>
      <c r="DK79" s="42" t="e">
        <f>SUM(#REF!)</f>
        <v>#REF!</v>
      </c>
      <c r="DL79" s="42" t="e">
        <f>SUM(#REF!)</f>
        <v>#REF!</v>
      </c>
      <c r="DM79" s="42" t="e">
        <f>SUM(#REF!)</f>
        <v>#REF!</v>
      </c>
      <c r="DN79" s="42" t="e">
        <f>SUM(#REF!)</f>
        <v>#REF!</v>
      </c>
      <c r="DO79" s="42" t="e">
        <f>SUM(#REF!)</f>
        <v>#REF!</v>
      </c>
      <c r="DP79" s="42" t="e">
        <f>SUM(#REF!)</f>
        <v>#REF!</v>
      </c>
      <c r="DQ79" s="42" t="e">
        <f>SUM(#REF!)</f>
        <v>#REF!</v>
      </c>
      <c r="DR79" s="42" t="e">
        <f>SUM(#REF!)</f>
        <v>#REF!</v>
      </c>
      <c r="DS79" s="42" t="e">
        <f>SUM(#REF!)</f>
        <v>#REF!</v>
      </c>
      <c r="DT79" s="42" t="e">
        <f>SUM(#REF!)</f>
        <v>#REF!</v>
      </c>
      <c r="DU79" s="21" t="e">
        <f>DP79/AG79</f>
        <v>#REF!</v>
      </c>
      <c r="DV79" s="21" t="e">
        <f>DQ79/AG79</f>
        <v>#REF!</v>
      </c>
      <c r="DW79" s="21"/>
      <c r="DX79" s="21"/>
      <c r="DY79" s="42">
        <f>SUBTOTAL(9,DY71:DY74)</f>
        <v>0</v>
      </c>
      <c r="DZ79" s="42"/>
      <c r="EA79" s="109"/>
    </row>
    <row r="80" spans="1:131" s="1" customFormat="1" ht="16.5" thickTop="1" x14ac:dyDescent="0.25">
      <c r="A80" s="10"/>
      <c r="B80" s="24"/>
      <c r="C80" s="10"/>
      <c r="D80" s="24"/>
      <c r="E80" s="3"/>
      <c r="F80" s="353"/>
      <c r="G80" s="353"/>
      <c r="H80" s="353"/>
      <c r="I80" s="9"/>
      <c r="J80" s="10"/>
      <c r="K80" s="3"/>
      <c r="L80" s="3"/>
      <c r="M80" s="45"/>
      <c r="N80" s="3"/>
      <c r="O80" s="3"/>
      <c r="P80" s="3"/>
      <c r="Q80" s="3"/>
      <c r="R80" s="3"/>
      <c r="S80" s="3"/>
      <c r="T80" s="12"/>
      <c r="U80" s="12"/>
      <c r="V80" s="12"/>
      <c r="W80" s="12"/>
      <c r="X80" s="12"/>
      <c r="Y80" s="13"/>
      <c r="Z80" s="25"/>
      <c r="AA80" s="10"/>
      <c r="AB80" s="12"/>
      <c r="AC80" s="36"/>
      <c r="AD80" s="36"/>
      <c r="AE80" s="7"/>
      <c r="AF80" s="33"/>
      <c r="AG80" s="7">
        <f t="shared" si="24"/>
        <v>0</v>
      </c>
      <c r="AH80" s="33"/>
      <c r="AI80" s="7">
        <f t="shared" si="25"/>
        <v>0</v>
      </c>
      <c r="AJ80" s="409"/>
      <c r="AK80" s="27"/>
      <c r="AL80" s="36"/>
      <c r="AM80" s="33"/>
      <c r="AN80" s="36"/>
      <c r="AO80" s="36"/>
      <c r="AP80" s="7"/>
      <c r="AQ80" s="36"/>
      <c r="AR80" s="36"/>
      <c r="AS80" s="7"/>
      <c r="AT80" s="36"/>
      <c r="AU80" s="36"/>
      <c r="AV80" s="7"/>
      <c r="AW80" s="33"/>
      <c r="AX80" s="33"/>
      <c r="AY80" s="7"/>
      <c r="AZ80" s="33"/>
      <c r="BA80" s="33"/>
      <c r="BB80" s="7"/>
      <c r="BC80" s="33"/>
      <c r="BD80" s="33"/>
      <c r="BE80" s="7"/>
      <c r="BF80" s="33"/>
      <c r="BG80" s="33"/>
      <c r="BH80" s="7"/>
      <c r="BI80" s="33"/>
      <c r="BJ80" s="33"/>
      <c r="BK80" s="7"/>
      <c r="BL80" s="33"/>
      <c r="BM80" s="33"/>
      <c r="BN80" s="7"/>
      <c r="BO80" s="33"/>
      <c r="BP80" s="33"/>
      <c r="BQ80" s="7"/>
      <c r="BR80" s="33"/>
      <c r="BS80" s="33"/>
      <c r="BT80" s="7"/>
      <c r="BU80" s="33"/>
      <c r="BV80" s="33"/>
      <c r="BW80" s="7"/>
      <c r="BX80" s="33"/>
      <c r="BY80" s="7"/>
      <c r="BZ80" s="7"/>
      <c r="CA80" s="33"/>
      <c r="CB80" s="7"/>
      <c r="CC80" s="7"/>
      <c r="CD80" s="15"/>
      <c r="CE80" s="15"/>
      <c r="CF80" s="450"/>
      <c r="CG80" s="36"/>
      <c r="CH80" s="33"/>
      <c r="CI80" s="33"/>
      <c r="CJ80" s="33"/>
      <c r="CK80" s="36"/>
      <c r="CL80" s="7"/>
      <c r="CM80" s="36"/>
      <c r="CN80" s="7"/>
      <c r="CO80" s="36"/>
      <c r="CP80" s="36"/>
      <c r="CQ80" s="7"/>
      <c r="CR80" s="7"/>
      <c r="CS80" s="7"/>
      <c r="CT80" s="36"/>
      <c r="CU80" s="36"/>
      <c r="CV80" s="7"/>
      <c r="CW80" s="36"/>
      <c r="CX80" s="36"/>
      <c r="CY80" s="7"/>
      <c r="CZ80" s="36"/>
      <c r="DA80" s="36"/>
      <c r="DB80" s="7"/>
      <c r="DC80" s="36"/>
      <c r="DD80" s="7">
        <f>DC80</f>
        <v>0</v>
      </c>
      <c r="DE80" s="36"/>
      <c r="DF80" s="7">
        <f>DE80</f>
        <v>0</v>
      </c>
      <c r="DG80" s="36"/>
      <c r="DH80" s="7">
        <f>DG80</f>
        <v>0</v>
      </c>
      <c r="DI80" s="36"/>
      <c r="DJ80" s="7">
        <f>DI80</f>
        <v>0</v>
      </c>
      <c r="DK80" s="36"/>
      <c r="DL80" s="7">
        <f>DK80</f>
        <v>0</v>
      </c>
      <c r="DM80" s="36"/>
      <c r="DN80" s="7">
        <f>DM80</f>
        <v>0</v>
      </c>
      <c r="DO80" s="36"/>
      <c r="DP80" s="14"/>
      <c r="DQ80" s="14"/>
      <c r="DR80" s="7"/>
      <c r="DS80" s="7"/>
      <c r="DT80" s="7"/>
      <c r="DU80" s="15"/>
      <c r="DV80" s="15"/>
      <c r="DW80" s="291"/>
      <c r="DX80" s="291"/>
      <c r="DY80" s="33"/>
      <c r="DZ80" s="36"/>
      <c r="EA80" s="109"/>
    </row>
    <row r="81" spans="1:131" s="1" customFormat="1" x14ac:dyDescent="0.25">
      <c r="A81" s="22" t="s">
        <v>111</v>
      </c>
      <c r="B81" s="23"/>
      <c r="C81" s="22"/>
      <c r="D81" s="23"/>
      <c r="E81" s="3"/>
      <c r="F81" s="353"/>
      <c r="G81" s="353"/>
      <c r="H81" s="353"/>
      <c r="I81" s="9"/>
      <c r="J81" s="10"/>
      <c r="K81" s="3"/>
      <c r="L81" s="3"/>
      <c r="M81" s="45"/>
      <c r="N81" s="3"/>
      <c r="O81" s="3"/>
      <c r="P81" s="3"/>
      <c r="Q81" s="3"/>
      <c r="R81" s="3"/>
      <c r="S81" s="3"/>
      <c r="T81" s="12"/>
      <c r="U81" s="12"/>
      <c r="V81" s="12"/>
      <c r="W81" s="12"/>
      <c r="X81" s="12"/>
      <c r="Y81" s="13"/>
      <c r="Z81" s="25"/>
      <c r="AA81" s="66" t="s">
        <v>111</v>
      </c>
      <c r="AB81" s="12"/>
      <c r="AC81" s="36"/>
      <c r="AD81" s="36"/>
      <c r="AE81" s="7"/>
      <c r="AF81" s="33"/>
      <c r="AG81" s="7">
        <f t="shared" si="24"/>
        <v>0</v>
      </c>
      <c r="AH81" s="33"/>
      <c r="AI81" s="7">
        <f t="shared" si="25"/>
        <v>0</v>
      </c>
      <c r="AJ81" s="409"/>
      <c r="AK81" s="27"/>
      <c r="AL81" s="36"/>
      <c r="AM81" s="33"/>
      <c r="AN81" s="36"/>
      <c r="AO81" s="36"/>
      <c r="AP81" s="7"/>
      <c r="AQ81" s="36"/>
      <c r="AR81" s="36"/>
      <c r="AS81" s="7"/>
      <c r="AT81" s="36"/>
      <c r="AU81" s="36"/>
      <c r="AV81" s="7"/>
      <c r="AW81" s="33"/>
      <c r="AX81" s="33"/>
      <c r="AY81" s="7"/>
      <c r="AZ81" s="33"/>
      <c r="BA81" s="33"/>
      <c r="BB81" s="7"/>
      <c r="BC81" s="33"/>
      <c r="BD81" s="33"/>
      <c r="BE81" s="7"/>
      <c r="BF81" s="33"/>
      <c r="BG81" s="33"/>
      <c r="BH81" s="7"/>
      <c r="BI81" s="33"/>
      <c r="BJ81" s="33"/>
      <c r="BK81" s="7"/>
      <c r="BL81" s="33"/>
      <c r="BM81" s="33"/>
      <c r="BN81" s="7"/>
      <c r="BO81" s="33"/>
      <c r="BP81" s="33"/>
      <c r="BQ81" s="7"/>
      <c r="BR81" s="33"/>
      <c r="BS81" s="33"/>
      <c r="BT81" s="7"/>
      <c r="BU81" s="33"/>
      <c r="BV81" s="33"/>
      <c r="BW81" s="7"/>
      <c r="BX81" s="33"/>
      <c r="BY81" s="7"/>
      <c r="BZ81" s="7"/>
      <c r="CA81" s="33"/>
      <c r="CB81" s="7"/>
      <c r="CC81" s="7"/>
      <c r="CD81" s="15"/>
      <c r="CE81" s="15"/>
      <c r="CF81" s="450"/>
      <c r="CG81" s="36"/>
      <c r="CH81" s="33"/>
      <c r="CI81" s="33"/>
      <c r="CJ81" s="33"/>
      <c r="CK81" s="36"/>
      <c r="CL81" s="7"/>
      <c r="CM81" s="36"/>
      <c r="CN81" s="7"/>
      <c r="CO81" s="36"/>
      <c r="CP81" s="36"/>
      <c r="CQ81" s="7"/>
      <c r="CR81" s="7"/>
      <c r="CS81" s="7"/>
      <c r="CT81" s="36"/>
      <c r="CU81" s="36"/>
      <c r="CV81" s="7"/>
      <c r="CW81" s="36"/>
      <c r="CX81" s="36"/>
      <c r="CY81" s="7"/>
      <c r="CZ81" s="36"/>
      <c r="DA81" s="36"/>
      <c r="DB81" s="7"/>
      <c r="DC81" s="36"/>
      <c r="DD81" s="7">
        <f>DC81</f>
        <v>0</v>
      </c>
      <c r="DE81" s="36"/>
      <c r="DF81" s="7">
        <f>DE81</f>
        <v>0</v>
      </c>
      <c r="DG81" s="36"/>
      <c r="DH81" s="7">
        <f>DG81</f>
        <v>0</v>
      </c>
      <c r="DI81" s="36"/>
      <c r="DJ81" s="7">
        <f>DI81</f>
        <v>0</v>
      </c>
      <c r="DK81" s="36"/>
      <c r="DL81" s="7">
        <f>DK81</f>
        <v>0</v>
      </c>
      <c r="DM81" s="36"/>
      <c r="DN81" s="7">
        <f>DM81</f>
        <v>0</v>
      </c>
      <c r="DO81" s="36"/>
      <c r="DP81" s="14"/>
      <c r="DQ81" s="14"/>
      <c r="DR81" s="7"/>
      <c r="DS81" s="7"/>
      <c r="DT81" s="7"/>
      <c r="DU81" s="15"/>
      <c r="DV81" s="15"/>
      <c r="DW81" s="291"/>
      <c r="DX81" s="291"/>
      <c r="DY81" s="33"/>
      <c r="DZ81" s="36"/>
      <c r="EA81" s="109"/>
    </row>
    <row r="82" spans="1:131" s="1" customFormat="1" x14ac:dyDescent="0.25">
      <c r="A82" s="10" t="s">
        <v>30</v>
      </c>
      <c r="B82" s="43"/>
      <c r="C82" s="8" t="s">
        <v>630</v>
      </c>
      <c r="D82" s="43"/>
      <c r="E82" s="3">
        <v>405005</v>
      </c>
      <c r="F82" s="353">
        <v>4</v>
      </c>
      <c r="G82" s="359" t="s">
        <v>187</v>
      </c>
      <c r="H82" s="353">
        <v>1509</v>
      </c>
      <c r="I82" s="9" t="s">
        <v>41</v>
      </c>
      <c r="J82" s="10" t="s">
        <v>72</v>
      </c>
      <c r="K82" s="3">
        <v>4</v>
      </c>
      <c r="L82" s="11" t="s">
        <v>187</v>
      </c>
      <c r="M82" s="45"/>
      <c r="N82" s="11" t="s">
        <v>186</v>
      </c>
      <c r="O82" s="11" t="s">
        <v>190</v>
      </c>
      <c r="P82" s="11" t="s">
        <v>187</v>
      </c>
      <c r="Q82" s="11" t="s">
        <v>187</v>
      </c>
      <c r="R82" s="3">
        <v>270</v>
      </c>
      <c r="S82" s="3" t="s">
        <v>188</v>
      </c>
      <c r="T82" s="12" t="s">
        <v>26</v>
      </c>
      <c r="U82" s="12" t="s">
        <v>222</v>
      </c>
      <c r="V82" s="12"/>
      <c r="W82" s="12" t="s">
        <v>5</v>
      </c>
      <c r="X82" s="12"/>
      <c r="Y82" s="13" t="s">
        <v>98</v>
      </c>
      <c r="Z82" s="25" t="s">
        <v>92</v>
      </c>
      <c r="AA82" s="9" t="s">
        <v>293</v>
      </c>
      <c r="AB82" s="12" t="s">
        <v>8</v>
      </c>
      <c r="AC82" s="36"/>
      <c r="AD82" s="36"/>
      <c r="AE82" s="7"/>
      <c r="AF82" s="33"/>
      <c r="AG82" s="7">
        <f t="shared" si="24"/>
        <v>0</v>
      </c>
      <c r="AH82" s="33"/>
      <c r="AI82" s="7">
        <f t="shared" si="25"/>
        <v>0</v>
      </c>
      <c r="AJ82" s="409"/>
      <c r="AK82" s="27">
        <v>500000</v>
      </c>
      <c r="AL82" s="36"/>
      <c r="AM82" s="33">
        <f t="shared" si="28"/>
        <v>500000</v>
      </c>
      <c r="AN82" s="36">
        <v>0</v>
      </c>
      <c r="AO82" s="36">
        <v>0</v>
      </c>
      <c r="AP82" s="7">
        <f t="shared" si="29"/>
        <v>0</v>
      </c>
      <c r="AQ82" s="36"/>
      <c r="AR82" s="36"/>
      <c r="AS82" s="7">
        <f t="shared" si="30"/>
        <v>0</v>
      </c>
      <c r="AT82" s="36"/>
      <c r="AU82" s="36"/>
      <c r="AV82" s="7">
        <f t="shared" si="31"/>
        <v>0</v>
      </c>
      <c r="AW82" s="33"/>
      <c r="AX82" s="33"/>
      <c r="AY82" s="7">
        <f t="shared" si="107"/>
        <v>0</v>
      </c>
      <c r="AZ82" s="33"/>
      <c r="BA82" s="33"/>
      <c r="BB82" s="7">
        <f t="shared" si="32"/>
        <v>0</v>
      </c>
      <c r="BC82" s="33"/>
      <c r="BD82" s="33"/>
      <c r="BE82" s="7">
        <f t="shared" si="33"/>
        <v>0</v>
      </c>
      <c r="BF82" s="33"/>
      <c r="BG82" s="33"/>
      <c r="BH82" s="7">
        <f t="shared" si="34"/>
        <v>0</v>
      </c>
      <c r="BI82" s="33"/>
      <c r="BJ82" s="33"/>
      <c r="BK82" s="7">
        <f t="shared" si="35"/>
        <v>0</v>
      </c>
      <c r="BL82" s="33"/>
      <c r="BM82" s="33"/>
      <c r="BN82" s="7">
        <f t="shared" si="36"/>
        <v>0</v>
      </c>
      <c r="BO82" s="33"/>
      <c r="BP82" s="33"/>
      <c r="BQ82" s="7">
        <f t="shared" si="37"/>
        <v>0</v>
      </c>
      <c r="BR82" s="33"/>
      <c r="BS82" s="33"/>
      <c r="BT82" s="7">
        <f t="shared" si="38"/>
        <v>0</v>
      </c>
      <c r="BU82" s="33"/>
      <c r="BV82" s="33"/>
      <c r="BW82" s="7">
        <f t="shared" si="39"/>
        <v>0</v>
      </c>
      <c r="BX82" s="33"/>
      <c r="BY82" s="7">
        <f t="shared" ref="BY82:BY161" si="109">AN82+AQ82+AT82++AW82+AZ82+BC82+BF82+BI82+BL82+BO82+BR82+BU82</f>
        <v>0</v>
      </c>
      <c r="BZ82" s="7">
        <f t="shared" ref="BZ82:BZ161" si="110">AP82+AS82+AV82+AY82+BB82+BE82+BH82+BK82+BN82+BQ82+BT82+BW82</f>
        <v>0</v>
      </c>
      <c r="CA82" s="33"/>
      <c r="CB82" s="7">
        <f t="shared" ref="CB82:CB161" si="111">AM82-BY82</f>
        <v>500000</v>
      </c>
      <c r="CC82" s="7">
        <f t="shared" ref="CC82:CC161" si="112">AM82-BZ82</f>
        <v>500000</v>
      </c>
      <c r="CD82" s="15">
        <f t="shared" ref="CD82:CD161" si="113">BY82/AM82</f>
        <v>0</v>
      </c>
      <c r="CE82" s="15">
        <f t="shared" ref="CE82:CE161" si="114">BZ82/AM82</f>
        <v>0</v>
      </c>
      <c r="CF82" s="451" t="s">
        <v>685</v>
      </c>
      <c r="CG82" s="36">
        <v>500000</v>
      </c>
      <c r="CH82" s="33">
        <v>500000</v>
      </c>
      <c r="CI82" s="33"/>
      <c r="CJ82" s="33"/>
      <c r="CK82" s="36"/>
      <c r="CL82" s="7"/>
      <c r="CM82" s="36"/>
      <c r="CN82" s="7"/>
      <c r="CO82" s="36"/>
      <c r="CP82" s="36"/>
      <c r="CQ82" s="7"/>
      <c r="CR82" s="7"/>
      <c r="CS82" s="7"/>
      <c r="CT82" s="36"/>
      <c r="CU82" s="36"/>
      <c r="CV82" s="7"/>
      <c r="CW82" s="36"/>
      <c r="CX82" s="36"/>
      <c r="CY82" s="7"/>
      <c r="CZ82" s="36"/>
      <c r="DA82" s="36"/>
      <c r="DB82" s="7"/>
      <c r="DC82" s="36"/>
      <c r="DD82" s="7"/>
      <c r="DE82" s="36"/>
      <c r="DF82" s="7"/>
      <c r="DG82" s="36"/>
      <c r="DH82" s="7"/>
      <c r="DI82" s="36"/>
      <c r="DJ82" s="7"/>
      <c r="DK82" s="36"/>
      <c r="DL82" s="7"/>
      <c r="DM82" s="36"/>
      <c r="DN82" s="7"/>
      <c r="DO82" s="36"/>
      <c r="DP82" s="14"/>
      <c r="DQ82" s="14"/>
      <c r="DR82" s="7"/>
      <c r="DS82" s="7"/>
      <c r="DT82" s="7"/>
      <c r="DU82" s="15"/>
      <c r="DV82" s="15"/>
      <c r="DW82" s="291"/>
      <c r="DX82" s="291"/>
      <c r="DY82" s="33"/>
      <c r="DZ82" s="36"/>
      <c r="EA82" s="109"/>
    </row>
    <row r="83" spans="1:131" s="1" customFormat="1" x14ac:dyDescent="0.25">
      <c r="A83" s="10" t="s">
        <v>30</v>
      </c>
      <c r="B83" s="43"/>
      <c r="C83" s="8" t="s">
        <v>626</v>
      </c>
      <c r="D83" s="43"/>
      <c r="E83" s="3">
        <v>415010</v>
      </c>
      <c r="F83" s="353">
        <v>5</v>
      </c>
      <c r="G83" s="359" t="s">
        <v>186</v>
      </c>
      <c r="H83" s="353">
        <v>1516</v>
      </c>
      <c r="I83" s="9" t="s">
        <v>246</v>
      </c>
      <c r="J83" s="10" t="s">
        <v>72</v>
      </c>
      <c r="K83" s="3">
        <v>4</v>
      </c>
      <c r="L83" s="11" t="s">
        <v>187</v>
      </c>
      <c r="M83" s="45"/>
      <c r="N83" s="11" t="s">
        <v>186</v>
      </c>
      <c r="O83" s="11" t="s">
        <v>582</v>
      </c>
      <c r="P83" s="11" t="s">
        <v>187</v>
      </c>
      <c r="Q83" s="11" t="s">
        <v>187</v>
      </c>
      <c r="R83" s="3">
        <v>270</v>
      </c>
      <c r="S83" s="11" t="s">
        <v>188</v>
      </c>
      <c r="T83" s="12" t="s">
        <v>26</v>
      </c>
      <c r="U83" s="12" t="s">
        <v>222</v>
      </c>
      <c r="V83" s="12"/>
      <c r="W83" s="12" t="s">
        <v>5</v>
      </c>
      <c r="X83" s="12"/>
      <c r="Y83" s="13" t="s">
        <v>100</v>
      </c>
      <c r="Z83" s="25" t="s">
        <v>92</v>
      </c>
      <c r="AA83" s="10" t="s">
        <v>436</v>
      </c>
      <c r="AB83" s="12" t="s">
        <v>8</v>
      </c>
      <c r="AC83" s="36"/>
      <c r="AD83" s="36"/>
      <c r="AE83" s="7"/>
      <c r="AF83" s="33"/>
      <c r="AG83" s="7"/>
      <c r="AH83" s="33"/>
      <c r="AI83" s="7"/>
      <c r="AJ83" s="409"/>
      <c r="AK83" s="27"/>
      <c r="AL83" s="27">
        <v>150000</v>
      </c>
      <c r="AM83" s="33">
        <f t="shared" si="28"/>
        <v>150000</v>
      </c>
      <c r="AN83" s="36"/>
      <c r="AO83" s="36"/>
      <c r="AP83" s="7">
        <f t="shared" si="29"/>
        <v>0</v>
      </c>
      <c r="AQ83" s="36"/>
      <c r="AR83" s="36"/>
      <c r="AS83" s="7">
        <f t="shared" si="30"/>
        <v>0</v>
      </c>
      <c r="AT83" s="36"/>
      <c r="AU83" s="36"/>
      <c r="AV83" s="7">
        <f t="shared" si="31"/>
        <v>0</v>
      </c>
      <c r="AW83" s="33"/>
      <c r="AX83" s="33"/>
      <c r="AY83" s="7">
        <f t="shared" si="107"/>
        <v>0</v>
      </c>
      <c r="AZ83" s="33"/>
      <c r="BA83" s="33"/>
      <c r="BB83" s="7"/>
      <c r="BC83" s="33"/>
      <c r="BD83" s="33"/>
      <c r="BE83" s="7"/>
      <c r="BF83" s="33"/>
      <c r="BG83" s="33"/>
      <c r="BH83" s="7"/>
      <c r="BI83" s="33"/>
      <c r="BJ83" s="33"/>
      <c r="BK83" s="7"/>
      <c r="BL83" s="33"/>
      <c r="BM83" s="33"/>
      <c r="BN83" s="7"/>
      <c r="BO83" s="33"/>
      <c r="BP83" s="33"/>
      <c r="BQ83" s="7"/>
      <c r="BR83" s="33"/>
      <c r="BS83" s="33"/>
      <c r="BT83" s="7"/>
      <c r="BU83" s="33"/>
      <c r="BV83" s="33"/>
      <c r="BW83" s="7"/>
      <c r="BX83" s="33"/>
      <c r="BY83" s="7">
        <f t="shared" si="109"/>
        <v>0</v>
      </c>
      <c r="BZ83" s="7">
        <f t="shared" si="110"/>
        <v>0</v>
      </c>
      <c r="CA83" s="33"/>
      <c r="CB83" s="7">
        <f t="shared" si="111"/>
        <v>150000</v>
      </c>
      <c r="CC83" s="7">
        <f t="shared" si="112"/>
        <v>150000</v>
      </c>
      <c r="CD83" s="15">
        <f t="shared" si="113"/>
        <v>0</v>
      </c>
      <c r="CE83" s="15">
        <f t="shared" si="114"/>
        <v>0</v>
      </c>
      <c r="CF83" s="451" t="s">
        <v>685</v>
      </c>
      <c r="CG83" s="36"/>
      <c r="CH83" s="33"/>
      <c r="CI83" s="33"/>
      <c r="CJ83" s="33"/>
      <c r="CK83" s="36"/>
      <c r="CL83" s="7"/>
      <c r="CM83" s="36"/>
      <c r="CN83" s="7"/>
      <c r="CO83" s="36"/>
      <c r="CP83" s="36"/>
      <c r="CQ83" s="7"/>
      <c r="CR83" s="7"/>
      <c r="CS83" s="7"/>
      <c r="CT83" s="36"/>
      <c r="CU83" s="36"/>
      <c r="CV83" s="7"/>
      <c r="CW83" s="36"/>
      <c r="CX83" s="36"/>
      <c r="CY83" s="7"/>
      <c r="CZ83" s="36"/>
      <c r="DA83" s="36"/>
      <c r="DB83" s="7"/>
      <c r="DC83" s="36"/>
      <c r="DD83" s="7"/>
      <c r="DE83" s="36"/>
      <c r="DF83" s="7"/>
      <c r="DG83" s="36"/>
      <c r="DH83" s="7"/>
      <c r="DI83" s="36"/>
      <c r="DJ83" s="7"/>
      <c r="DK83" s="36"/>
      <c r="DL83" s="7"/>
      <c r="DM83" s="36"/>
      <c r="DN83" s="7"/>
      <c r="DO83" s="36"/>
      <c r="DP83" s="14"/>
      <c r="DQ83" s="14"/>
      <c r="DR83" s="7"/>
      <c r="DS83" s="7"/>
      <c r="DT83" s="7"/>
      <c r="DU83" s="15"/>
      <c r="DV83" s="15"/>
      <c r="DW83" s="291"/>
      <c r="DX83" s="291"/>
      <c r="DY83" s="33"/>
      <c r="DZ83" s="36"/>
      <c r="EA83" s="109"/>
    </row>
    <row r="84" spans="1:131" s="1" customFormat="1" x14ac:dyDescent="0.25">
      <c r="A84" s="10" t="s">
        <v>30</v>
      </c>
      <c r="B84" s="43"/>
      <c r="C84" s="8" t="s">
        <v>761</v>
      </c>
      <c r="D84" s="43"/>
      <c r="E84" s="3">
        <v>415010</v>
      </c>
      <c r="F84" s="353">
        <v>6</v>
      </c>
      <c r="G84" s="359" t="s">
        <v>187</v>
      </c>
      <c r="H84" s="353">
        <v>1510</v>
      </c>
      <c r="I84" s="9" t="s">
        <v>41</v>
      </c>
      <c r="J84" s="10" t="s">
        <v>72</v>
      </c>
      <c r="K84" s="3"/>
      <c r="L84" s="11"/>
      <c r="M84" s="45"/>
      <c r="N84" s="11" t="s">
        <v>186</v>
      </c>
      <c r="O84" s="3" t="s">
        <v>190</v>
      </c>
      <c r="P84" s="11" t="s">
        <v>187</v>
      </c>
      <c r="Q84" s="11" t="s">
        <v>187</v>
      </c>
      <c r="R84" s="3">
        <v>250</v>
      </c>
      <c r="S84" s="11" t="s">
        <v>259</v>
      </c>
      <c r="T84" s="12" t="s">
        <v>46</v>
      </c>
      <c r="U84" s="12" t="s">
        <v>222</v>
      </c>
      <c r="V84" s="12"/>
      <c r="W84" s="12" t="s">
        <v>5</v>
      </c>
      <c r="X84" s="12"/>
      <c r="Y84" s="13" t="s">
        <v>100</v>
      </c>
      <c r="Z84" s="25" t="s">
        <v>92</v>
      </c>
      <c r="AA84" s="10" t="s">
        <v>741</v>
      </c>
      <c r="AB84" s="12" t="s">
        <v>697</v>
      </c>
      <c r="AC84" s="36"/>
      <c r="AD84" s="36"/>
      <c r="AE84" s="7"/>
      <c r="AF84" s="33"/>
      <c r="AG84" s="7"/>
      <c r="AH84" s="33"/>
      <c r="AI84" s="7"/>
      <c r="AJ84" s="409"/>
      <c r="AK84" s="27"/>
      <c r="AL84" s="36">
        <v>150000</v>
      </c>
      <c r="AM84" s="33">
        <f t="shared" si="28"/>
        <v>150000</v>
      </c>
      <c r="AN84" s="36"/>
      <c r="AO84" s="36"/>
      <c r="AP84" s="7">
        <f t="shared" si="29"/>
        <v>0</v>
      </c>
      <c r="AQ84" s="36"/>
      <c r="AR84" s="36"/>
      <c r="AS84" s="7">
        <f t="shared" si="30"/>
        <v>0</v>
      </c>
      <c r="AT84" s="36"/>
      <c r="AU84" s="36"/>
      <c r="AV84" s="7">
        <f t="shared" si="31"/>
        <v>0</v>
      </c>
      <c r="AW84" s="33"/>
      <c r="AX84" s="33"/>
      <c r="AY84" s="7">
        <f t="shared" si="107"/>
        <v>0</v>
      </c>
      <c r="AZ84" s="33"/>
      <c r="BA84" s="33"/>
      <c r="BB84" s="7"/>
      <c r="BC84" s="33"/>
      <c r="BD84" s="33"/>
      <c r="BE84" s="7"/>
      <c r="BF84" s="33"/>
      <c r="BG84" s="33"/>
      <c r="BH84" s="7"/>
      <c r="BI84" s="33"/>
      <c r="BJ84" s="33"/>
      <c r="BK84" s="7"/>
      <c r="BL84" s="33"/>
      <c r="BM84" s="33"/>
      <c r="BN84" s="7"/>
      <c r="BO84" s="33"/>
      <c r="BP84" s="33"/>
      <c r="BQ84" s="7"/>
      <c r="BR84" s="33"/>
      <c r="BS84" s="33"/>
      <c r="BT84" s="7"/>
      <c r="BU84" s="33"/>
      <c r="BV84" s="33"/>
      <c r="BW84" s="7"/>
      <c r="BX84" s="33"/>
      <c r="BY84" s="7">
        <f t="shared" si="109"/>
        <v>0</v>
      </c>
      <c r="BZ84" s="7">
        <f t="shared" si="110"/>
        <v>0</v>
      </c>
      <c r="CA84" s="33"/>
      <c r="CB84" s="7">
        <f t="shared" si="111"/>
        <v>150000</v>
      </c>
      <c r="CC84" s="7">
        <f t="shared" si="112"/>
        <v>150000</v>
      </c>
      <c r="CD84" s="15">
        <f t="shared" si="113"/>
        <v>0</v>
      </c>
      <c r="CE84" s="15">
        <f t="shared" si="114"/>
        <v>0</v>
      </c>
      <c r="CF84" s="451" t="s">
        <v>685</v>
      </c>
      <c r="CG84" s="36"/>
      <c r="CH84" s="33"/>
      <c r="CI84" s="33"/>
      <c r="CJ84" s="33"/>
      <c r="CK84" s="36"/>
      <c r="CL84" s="7"/>
      <c r="CM84" s="36"/>
      <c r="CN84" s="7"/>
      <c r="CO84" s="36"/>
      <c r="CP84" s="36"/>
      <c r="CQ84" s="7"/>
      <c r="CR84" s="7"/>
      <c r="CS84" s="7"/>
      <c r="CT84" s="36"/>
      <c r="CU84" s="36"/>
      <c r="CV84" s="7"/>
      <c r="CW84" s="36"/>
      <c r="CX84" s="36"/>
      <c r="CY84" s="7"/>
      <c r="CZ84" s="36"/>
      <c r="DA84" s="36"/>
      <c r="DB84" s="7"/>
      <c r="DC84" s="36"/>
      <c r="DD84" s="7"/>
      <c r="DE84" s="36"/>
      <c r="DF84" s="7"/>
      <c r="DG84" s="36"/>
      <c r="DH84" s="7"/>
      <c r="DI84" s="36"/>
      <c r="DJ84" s="7"/>
      <c r="DK84" s="36"/>
      <c r="DL84" s="7"/>
      <c r="DM84" s="36"/>
      <c r="DN84" s="7"/>
      <c r="DO84" s="36"/>
      <c r="DP84" s="14"/>
      <c r="DQ84" s="14"/>
      <c r="DR84" s="7"/>
      <c r="DS84" s="7"/>
      <c r="DT84" s="7"/>
      <c r="DU84" s="15"/>
      <c r="DV84" s="15"/>
      <c r="DW84" s="291"/>
      <c r="DX84" s="291"/>
      <c r="DY84" s="33"/>
      <c r="DZ84" s="36"/>
      <c r="EA84" s="109"/>
    </row>
    <row r="85" spans="1:131" s="1" customFormat="1" x14ac:dyDescent="0.25">
      <c r="A85" s="10" t="s">
        <v>30</v>
      </c>
      <c r="B85" s="24" t="s">
        <v>81</v>
      </c>
      <c r="C85" s="8" t="s">
        <v>228</v>
      </c>
      <c r="D85" s="24"/>
      <c r="E85" s="26">
        <v>415025</v>
      </c>
      <c r="F85" s="353">
        <v>4</v>
      </c>
      <c r="G85" s="359" t="s">
        <v>187</v>
      </c>
      <c r="H85" s="354">
        <v>1510</v>
      </c>
      <c r="I85" s="9" t="s">
        <v>41</v>
      </c>
      <c r="J85" s="10" t="s">
        <v>72</v>
      </c>
      <c r="K85" s="3">
        <v>4</v>
      </c>
      <c r="L85" s="11" t="s">
        <v>187</v>
      </c>
      <c r="M85" s="45"/>
      <c r="N85" s="11" t="s">
        <v>186</v>
      </c>
      <c r="O85" s="3" t="s">
        <v>190</v>
      </c>
      <c r="P85" s="11" t="s">
        <v>187</v>
      </c>
      <c r="Q85" s="11" t="s">
        <v>187</v>
      </c>
      <c r="R85" s="3">
        <v>270</v>
      </c>
      <c r="S85" s="3" t="s">
        <v>188</v>
      </c>
      <c r="T85" s="12" t="s">
        <v>26</v>
      </c>
      <c r="U85" s="12" t="s">
        <v>222</v>
      </c>
      <c r="V85" s="12"/>
      <c r="W85" s="12" t="s">
        <v>5</v>
      </c>
      <c r="X85" s="12" t="s">
        <v>53</v>
      </c>
      <c r="Y85" s="13" t="s">
        <v>98</v>
      </c>
      <c r="Z85" s="25" t="s">
        <v>92</v>
      </c>
      <c r="AA85" s="10" t="s">
        <v>102</v>
      </c>
      <c r="AB85" s="12" t="s">
        <v>8</v>
      </c>
      <c r="AC85" s="27">
        <v>500000</v>
      </c>
      <c r="AD85" s="36"/>
      <c r="AE85" s="7">
        <f>AC85+AD85</f>
        <v>500000</v>
      </c>
      <c r="AF85" s="33"/>
      <c r="AG85" s="7">
        <f t="shared" si="24"/>
        <v>500000</v>
      </c>
      <c r="AH85" s="33"/>
      <c r="AI85" s="7">
        <f t="shared" si="25"/>
        <v>500000</v>
      </c>
      <c r="AJ85" s="409"/>
      <c r="AK85" s="27">
        <v>500000</v>
      </c>
      <c r="AL85" s="36"/>
      <c r="AM85" s="33">
        <f t="shared" si="28"/>
        <v>500000</v>
      </c>
      <c r="AN85" s="36">
        <v>0</v>
      </c>
      <c r="AO85" s="36">
        <v>0</v>
      </c>
      <c r="AP85" s="7">
        <f t="shared" si="29"/>
        <v>0</v>
      </c>
      <c r="AQ85" s="36"/>
      <c r="AR85" s="36"/>
      <c r="AS85" s="7">
        <f t="shared" si="30"/>
        <v>0</v>
      </c>
      <c r="AT85" s="36">
        <v>168270</v>
      </c>
      <c r="AU85" s="36"/>
      <c r="AV85" s="7">
        <f t="shared" si="31"/>
        <v>168270</v>
      </c>
      <c r="AW85" s="7"/>
      <c r="AX85" s="7"/>
      <c r="AY85" s="7">
        <f t="shared" si="107"/>
        <v>0</v>
      </c>
      <c r="AZ85" s="7"/>
      <c r="BA85" s="7"/>
      <c r="BB85" s="7">
        <f t="shared" si="32"/>
        <v>0</v>
      </c>
      <c r="BC85" s="7"/>
      <c r="BD85" s="7"/>
      <c r="BE85" s="7">
        <f t="shared" si="33"/>
        <v>0</v>
      </c>
      <c r="BF85" s="7"/>
      <c r="BG85" s="7"/>
      <c r="BH85" s="7">
        <f t="shared" si="34"/>
        <v>0</v>
      </c>
      <c r="BI85" s="7"/>
      <c r="BJ85" s="7"/>
      <c r="BK85" s="7">
        <f t="shared" si="35"/>
        <v>0</v>
      </c>
      <c r="BL85" s="7"/>
      <c r="BM85" s="7"/>
      <c r="BN85" s="7">
        <f t="shared" si="36"/>
        <v>0</v>
      </c>
      <c r="BO85" s="7"/>
      <c r="BP85" s="7"/>
      <c r="BQ85" s="7">
        <f t="shared" si="37"/>
        <v>0</v>
      </c>
      <c r="BR85" s="7"/>
      <c r="BS85" s="7"/>
      <c r="BT85" s="7">
        <f t="shared" si="38"/>
        <v>0</v>
      </c>
      <c r="BU85" s="7"/>
      <c r="BV85" s="7"/>
      <c r="BW85" s="7">
        <f t="shared" si="39"/>
        <v>0</v>
      </c>
      <c r="BX85" s="7">
        <v>1728</v>
      </c>
      <c r="BY85" s="7">
        <f t="shared" si="109"/>
        <v>168270</v>
      </c>
      <c r="BZ85" s="7">
        <f t="shared" si="110"/>
        <v>168270</v>
      </c>
      <c r="CA85" s="7"/>
      <c r="CB85" s="7">
        <f t="shared" si="111"/>
        <v>331730</v>
      </c>
      <c r="CC85" s="7">
        <f t="shared" si="112"/>
        <v>331730</v>
      </c>
      <c r="CD85" s="15">
        <f t="shared" si="113"/>
        <v>0.33654000000000001</v>
      </c>
      <c r="CE85" s="15">
        <f t="shared" si="114"/>
        <v>0.33654000000000001</v>
      </c>
      <c r="CF85" s="451" t="s">
        <v>823</v>
      </c>
      <c r="CG85" s="27">
        <v>0</v>
      </c>
      <c r="CH85" s="33">
        <v>0</v>
      </c>
      <c r="CI85" s="33"/>
      <c r="CJ85" s="33"/>
      <c r="CK85" s="36"/>
      <c r="CL85" s="7">
        <f t="shared" ref="CL85:CL140" si="115">CK85</f>
        <v>0</v>
      </c>
      <c r="CM85" s="36"/>
      <c r="CN85" s="7">
        <f>CM85</f>
        <v>0</v>
      </c>
      <c r="CO85" s="36"/>
      <c r="CP85" s="36"/>
      <c r="CQ85" s="7">
        <f t="shared" ref="CQ85:CQ98" si="116">CO85+CP85</f>
        <v>0</v>
      </c>
      <c r="CR85" s="7">
        <f t="shared" ref="CR85:CR132" si="117">CK85+CM85+CO85</f>
        <v>0</v>
      </c>
      <c r="CS85" s="7">
        <f t="shared" ref="CS85:CS132" si="118">CL85+CN85+CQ85</f>
        <v>0</v>
      </c>
      <c r="CT85" s="36"/>
      <c r="CU85" s="36"/>
      <c r="CV85" s="7">
        <f t="shared" ref="CV85:CV130" si="119">CT85+CU85</f>
        <v>0</v>
      </c>
      <c r="CW85" s="36">
        <v>23472.6</v>
      </c>
      <c r="CX85" s="36"/>
      <c r="CY85" s="7">
        <f t="shared" ref="CY85:CY98" si="120">CW85+CX85</f>
        <v>23472.6</v>
      </c>
      <c r="CZ85" s="36"/>
      <c r="DA85" s="36"/>
      <c r="DB85" s="7">
        <f t="shared" ref="DB85:DB98" si="121">CZ85+DA85</f>
        <v>0</v>
      </c>
      <c r="DC85" s="36"/>
      <c r="DD85" s="7">
        <f t="shared" ref="DD85:DD140" si="122">DC85</f>
        <v>0</v>
      </c>
      <c r="DE85" s="36"/>
      <c r="DF85" s="7">
        <f t="shared" ref="DF85:DF140" si="123">DE85</f>
        <v>0</v>
      </c>
      <c r="DG85" s="36"/>
      <c r="DH85" s="7">
        <f t="shared" ref="DH85:DH140" si="124">DG85</f>
        <v>0</v>
      </c>
      <c r="DI85" s="36"/>
      <c r="DJ85" s="7">
        <f t="shared" ref="DJ85:DJ140" si="125">DI85</f>
        <v>0</v>
      </c>
      <c r="DK85" s="36"/>
      <c r="DL85" s="7">
        <f t="shared" ref="DL85:DL140" si="126">DK85</f>
        <v>0</v>
      </c>
      <c r="DM85" s="36"/>
      <c r="DN85" s="7">
        <f t="shared" ref="DN85:DN140" si="127">DM85</f>
        <v>0</v>
      </c>
      <c r="DO85" s="36"/>
      <c r="DP85" s="14">
        <f t="shared" ref="DP85:DP98" si="128">CK85+CM85+CO85+CT85+CW85+CZ85+DC85+DE85+DG85+DI85+DK85+DM85</f>
        <v>23472.6</v>
      </c>
      <c r="DQ85" s="14">
        <f t="shared" ref="DQ85:DQ98" si="129">CL85+CN85+CQ85+CV85+CY85+DB85</f>
        <v>23472.6</v>
      </c>
      <c r="DR85" s="7"/>
      <c r="DS85" s="7">
        <f t="shared" ref="DS85:DS98" si="130">AG85-DP85</f>
        <v>476527.4</v>
      </c>
      <c r="DT85" s="7">
        <f t="shared" ref="DT85:DT98" si="131">AG85-DQ85</f>
        <v>476527.4</v>
      </c>
      <c r="DU85" s="15">
        <f>DP85/AG85</f>
        <v>4.6945199999999999E-2</v>
      </c>
      <c r="DV85" s="15">
        <f>DQ85/AG85</f>
        <v>4.6945199999999999E-2</v>
      </c>
      <c r="DW85" s="291"/>
      <c r="DX85" s="291"/>
      <c r="DY85" s="33"/>
      <c r="DZ85" s="36"/>
      <c r="EA85" s="109"/>
    </row>
    <row r="86" spans="1:131" s="1" customFormat="1" x14ac:dyDescent="0.25">
      <c r="A86" s="10" t="s">
        <v>30</v>
      </c>
      <c r="B86" s="24" t="s">
        <v>81</v>
      </c>
      <c r="C86" s="8" t="s">
        <v>228</v>
      </c>
      <c r="D86" s="24"/>
      <c r="E86" s="26">
        <v>415025</v>
      </c>
      <c r="F86" s="353">
        <v>4</v>
      </c>
      <c r="G86" s="359" t="s">
        <v>187</v>
      </c>
      <c r="H86" s="353">
        <v>1511</v>
      </c>
      <c r="I86" s="9" t="s">
        <v>41</v>
      </c>
      <c r="J86" s="10" t="s">
        <v>72</v>
      </c>
      <c r="K86" s="3">
        <v>4</v>
      </c>
      <c r="L86" s="11" t="s">
        <v>187</v>
      </c>
      <c r="M86" s="45"/>
      <c r="N86" s="11" t="s">
        <v>186</v>
      </c>
      <c r="O86" s="3" t="s">
        <v>190</v>
      </c>
      <c r="P86" s="11" t="s">
        <v>187</v>
      </c>
      <c r="Q86" s="11" t="s">
        <v>187</v>
      </c>
      <c r="R86" s="3">
        <v>270</v>
      </c>
      <c r="S86" s="3" t="s">
        <v>188</v>
      </c>
      <c r="T86" s="12" t="s">
        <v>26</v>
      </c>
      <c r="U86" s="12" t="s">
        <v>222</v>
      </c>
      <c r="V86" s="12"/>
      <c r="W86" s="12" t="s">
        <v>5</v>
      </c>
      <c r="X86" s="8" t="s">
        <v>53</v>
      </c>
      <c r="Y86" s="13" t="s">
        <v>98</v>
      </c>
      <c r="Z86" s="25" t="s">
        <v>92</v>
      </c>
      <c r="AA86" s="10" t="s">
        <v>557</v>
      </c>
      <c r="AB86" s="12" t="s">
        <v>8</v>
      </c>
      <c r="AC86" s="115">
        <f>15000000+750000+5000000-3500000-7000000-5000000</f>
        <v>5250000</v>
      </c>
      <c r="AD86" s="115">
        <v>-250000</v>
      </c>
      <c r="AE86" s="7">
        <f>AC86+AD86</f>
        <v>5000000</v>
      </c>
      <c r="AF86" s="7"/>
      <c r="AG86" s="7">
        <f t="shared" si="24"/>
        <v>5000000</v>
      </c>
      <c r="AH86" s="33"/>
      <c r="AI86" s="7">
        <f t="shared" si="25"/>
        <v>5000000</v>
      </c>
      <c r="AJ86" s="62"/>
      <c r="AK86" s="27">
        <f>7000000+2000000-8000000</f>
        <v>1000000</v>
      </c>
      <c r="AL86" s="36"/>
      <c r="AM86" s="33">
        <f t="shared" si="28"/>
        <v>1000000</v>
      </c>
      <c r="AN86" s="36">
        <v>0</v>
      </c>
      <c r="AO86" s="27">
        <v>0</v>
      </c>
      <c r="AP86" s="7">
        <f t="shared" si="29"/>
        <v>0</v>
      </c>
      <c r="AQ86" s="27"/>
      <c r="AR86" s="27"/>
      <c r="AS86" s="7">
        <f t="shared" si="30"/>
        <v>0</v>
      </c>
      <c r="AT86" s="27"/>
      <c r="AU86" s="27"/>
      <c r="AV86" s="7">
        <f t="shared" si="31"/>
        <v>0</v>
      </c>
      <c r="AW86" s="7"/>
      <c r="AX86" s="7"/>
      <c r="AY86" s="7">
        <f t="shared" si="107"/>
        <v>0</v>
      </c>
      <c r="AZ86" s="7"/>
      <c r="BA86" s="7"/>
      <c r="BB86" s="7">
        <f t="shared" si="32"/>
        <v>0</v>
      </c>
      <c r="BC86" s="7"/>
      <c r="BD86" s="7"/>
      <c r="BE86" s="7">
        <f t="shared" si="33"/>
        <v>0</v>
      </c>
      <c r="BF86" s="7"/>
      <c r="BG86" s="7"/>
      <c r="BH86" s="7">
        <f t="shared" si="34"/>
        <v>0</v>
      </c>
      <c r="BI86" s="7"/>
      <c r="BJ86" s="7"/>
      <c r="BK86" s="7">
        <f t="shared" si="35"/>
        <v>0</v>
      </c>
      <c r="BL86" s="7"/>
      <c r="BM86" s="7"/>
      <c r="BN86" s="7">
        <f t="shared" si="36"/>
        <v>0</v>
      </c>
      <c r="BO86" s="7"/>
      <c r="BP86" s="7"/>
      <c r="BQ86" s="7">
        <f t="shared" si="37"/>
        <v>0</v>
      </c>
      <c r="BR86" s="7"/>
      <c r="BS86" s="7"/>
      <c r="BT86" s="7">
        <f t="shared" si="38"/>
        <v>0</v>
      </c>
      <c r="BU86" s="7"/>
      <c r="BV86" s="7"/>
      <c r="BW86" s="7">
        <f t="shared" si="39"/>
        <v>0</v>
      </c>
      <c r="BX86" s="7"/>
      <c r="BY86" s="7">
        <f t="shared" si="109"/>
        <v>0</v>
      </c>
      <c r="BZ86" s="7">
        <f t="shared" si="110"/>
        <v>0</v>
      </c>
      <c r="CA86" s="7"/>
      <c r="CB86" s="7">
        <f t="shared" si="111"/>
        <v>1000000</v>
      </c>
      <c r="CC86" s="7">
        <f t="shared" si="112"/>
        <v>1000000</v>
      </c>
      <c r="CD86" s="15">
        <f t="shared" si="113"/>
        <v>0</v>
      </c>
      <c r="CE86" s="15">
        <f t="shared" si="114"/>
        <v>0</v>
      </c>
      <c r="CF86" s="451" t="s">
        <v>861</v>
      </c>
      <c r="CG86" s="115">
        <v>12000000</v>
      </c>
      <c r="CH86" s="33">
        <v>12000000</v>
      </c>
      <c r="CI86" s="33"/>
      <c r="CJ86" s="33"/>
      <c r="CK86" s="115"/>
      <c r="CL86" s="7">
        <f t="shared" si="115"/>
        <v>0</v>
      </c>
      <c r="CM86" s="115"/>
      <c r="CN86" s="7">
        <f>CM86</f>
        <v>0</v>
      </c>
      <c r="CO86" s="115">
        <v>581900</v>
      </c>
      <c r="CP86" s="115"/>
      <c r="CQ86" s="7">
        <f t="shared" si="116"/>
        <v>581900</v>
      </c>
      <c r="CR86" s="7">
        <f t="shared" si="117"/>
        <v>581900</v>
      </c>
      <c r="CS86" s="7">
        <f t="shared" si="118"/>
        <v>581900</v>
      </c>
      <c r="CT86" s="115">
        <v>1191020</v>
      </c>
      <c r="CU86" s="115"/>
      <c r="CV86" s="7">
        <f t="shared" si="119"/>
        <v>1191020</v>
      </c>
      <c r="CW86" s="115">
        <v>574780.65</v>
      </c>
      <c r="CX86" s="115"/>
      <c r="CY86" s="7">
        <f t="shared" si="120"/>
        <v>574780.65</v>
      </c>
      <c r="CZ86" s="115">
        <v>553836.65</v>
      </c>
      <c r="DA86" s="115"/>
      <c r="DB86" s="7">
        <f t="shared" si="121"/>
        <v>553836.65</v>
      </c>
      <c r="DC86" s="115"/>
      <c r="DD86" s="7">
        <f t="shared" si="122"/>
        <v>0</v>
      </c>
      <c r="DE86" s="115"/>
      <c r="DF86" s="7">
        <f t="shared" si="123"/>
        <v>0</v>
      </c>
      <c r="DG86" s="115"/>
      <c r="DH86" s="7">
        <f t="shared" si="124"/>
        <v>0</v>
      </c>
      <c r="DI86" s="115"/>
      <c r="DJ86" s="7">
        <f t="shared" si="125"/>
        <v>0</v>
      </c>
      <c r="DK86" s="115"/>
      <c r="DL86" s="7">
        <f t="shared" si="126"/>
        <v>0</v>
      </c>
      <c r="DM86" s="115"/>
      <c r="DN86" s="7">
        <f t="shared" si="127"/>
        <v>0</v>
      </c>
      <c r="DO86" s="115">
        <v>1548136.26</v>
      </c>
      <c r="DP86" s="14">
        <f t="shared" si="128"/>
        <v>2901537.3</v>
      </c>
      <c r="DQ86" s="14">
        <f t="shared" si="129"/>
        <v>2901537.3</v>
      </c>
      <c r="DR86" s="7"/>
      <c r="DS86" s="7">
        <f t="shared" si="130"/>
        <v>2098462.7000000002</v>
      </c>
      <c r="DT86" s="7">
        <f t="shared" si="131"/>
        <v>2098462.7000000002</v>
      </c>
      <c r="DU86" s="15">
        <f>DP86/AG86</f>
        <v>0.58030746</v>
      </c>
      <c r="DV86" s="15">
        <f>DQ86/AG86</f>
        <v>0.58030746</v>
      </c>
      <c r="DW86" s="291"/>
      <c r="DX86" s="291"/>
      <c r="DY86" s="33"/>
      <c r="DZ86" s="36"/>
      <c r="EA86" s="109"/>
    </row>
    <row r="87" spans="1:131" s="1" customFormat="1" x14ac:dyDescent="0.25">
      <c r="A87" s="10" t="s">
        <v>30</v>
      </c>
      <c r="B87" s="24" t="s">
        <v>81</v>
      </c>
      <c r="C87" s="8" t="s">
        <v>228</v>
      </c>
      <c r="D87" s="24"/>
      <c r="E87" s="26">
        <v>415025</v>
      </c>
      <c r="F87" s="353">
        <v>4</v>
      </c>
      <c r="G87" s="359" t="s">
        <v>187</v>
      </c>
      <c r="H87" s="354">
        <v>1512</v>
      </c>
      <c r="I87" s="9" t="s">
        <v>41</v>
      </c>
      <c r="J87" s="10" t="s">
        <v>72</v>
      </c>
      <c r="K87" s="3">
        <v>4</v>
      </c>
      <c r="L87" s="11" t="s">
        <v>187</v>
      </c>
      <c r="M87" s="45"/>
      <c r="N87" s="11" t="s">
        <v>186</v>
      </c>
      <c r="O87" s="3" t="s">
        <v>190</v>
      </c>
      <c r="P87" s="11" t="s">
        <v>187</v>
      </c>
      <c r="Q87" s="11" t="s">
        <v>187</v>
      </c>
      <c r="R87" s="3">
        <v>270</v>
      </c>
      <c r="S87" s="3" t="s">
        <v>188</v>
      </c>
      <c r="T87" s="12" t="s">
        <v>26</v>
      </c>
      <c r="U87" s="12" t="s">
        <v>222</v>
      </c>
      <c r="V87" s="12"/>
      <c r="W87" s="12" t="s">
        <v>5</v>
      </c>
      <c r="X87" s="8" t="s">
        <v>53</v>
      </c>
      <c r="Y87" s="13" t="s">
        <v>98</v>
      </c>
      <c r="Z87" s="25" t="s">
        <v>92</v>
      </c>
      <c r="AA87" s="10" t="s">
        <v>556</v>
      </c>
      <c r="AB87" s="12" t="s">
        <v>8</v>
      </c>
      <c r="AC87" s="115"/>
      <c r="AD87" s="115"/>
      <c r="AE87" s="7"/>
      <c r="AF87" s="7"/>
      <c r="AG87" s="7">
        <f t="shared" si="24"/>
        <v>0</v>
      </c>
      <c r="AH87" s="33"/>
      <c r="AI87" s="7">
        <f t="shared" si="25"/>
        <v>0</v>
      </c>
      <c r="AJ87" s="62"/>
      <c r="AK87" s="27">
        <v>2400000</v>
      </c>
      <c r="AL87" s="36"/>
      <c r="AM87" s="33">
        <f t="shared" si="28"/>
        <v>2400000</v>
      </c>
      <c r="AN87" s="36">
        <v>0</v>
      </c>
      <c r="AO87" s="27">
        <v>0</v>
      </c>
      <c r="AP87" s="7">
        <f t="shared" si="29"/>
        <v>0</v>
      </c>
      <c r="AQ87" s="27"/>
      <c r="AR87" s="27"/>
      <c r="AS87" s="7">
        <f t="shared" si="30"/>
        <v>0</v>
      </c>
      <c r="AT87" s="27">
        <v>2135.27</v>
      </c>
      <c r="AU87" s="27"/>
      <c r="AV87" s="7">
        <f t="shared" si="31"/>
        <v>2135.27</v>
      </c>
      <c r="AW87" s="7"/>
      <c r="AX87" s="7"/>
      <c r="AY87" s="7">
        <f t="shared" si="107"/>
        <v>0</v>
      </c>
      <c r="AZ87" s="7"/>
      <c r="BA87" s="7"/>
      <c r="BB87" s="7">
        <f t="shared" si="32"/>
        <v>0</v>
      </c>
      <c r="BC87" s="7"/>
      <c r="BD87" s="7"/>
      <c r="BE87" s="7">
        <f t="shared" si="33"/>
        <v>0</v>
      </c>
      <c r="BF87" s="7"/>
      <c r="BG87" s="7"/>
      <c r="BH87" s="7">
        <f t="shared" si="34"/>
        <v>0</v>
      </c>
      <c r="BI87" s="7"/>
      <c r="BJ87" s="7"/>
      <c r="BK87" s="7">
        <f t="shared" si="35"/>
        <v>0</v>
      </c>
      <c r="BL87" s="7"/>
      <c r="BM87" s="7"/>
      <c r="BN87" s="7">
        <f t="shared" si="36"/>
        <v>0</v>
      </c>
      <c r="BO87" s="7"/>
      <c r="BP87" s="7"/>
      <c r="BQ87" s="7">
        <f t="shared" si="37"/>
        <v>0</v>
      </c>
      <c r="BR87" s="7"/>
      <c r="BS87" s="7"/>
      <c r="BT87" s="7">
        <f t="shared" si="38"/>
        <v>0</v>
      </c>
      <c r="BU87" s="7"/>
      <c r="BV87" s="7"/>
      <c r="BW87" s="7">
        <f t="shared" si="39"/>
        <v>0</v>
      </c>
      <c r="BX87" s="7"/>
      <c r="BY87" s="7">
        <f t="shared" si="109"/>
        <v>2135.27</v>
      </c>
      <c r="BZ87" s="7">
        <f t="shared" si="110"/>
        <v>2135.27</v>
      </c>
      <c r="CA87" s="7"/>
      <c r="CB87" s="7">
        <f t="shared" si="111"/>
        <v>2397864.73</v>
      </c>
      <c r="CC87" s="7">
        <f t="shared" si="112"/>
        <v>2397864.73</v>
      </c>
      <c r="CD87" s="15">
        <f t="shared" si="113"/>
        <v>8.8969583333333335E-4</v>
      </c>
      <c r="CE87" s="15">
        <f t="shared" si="114"/>
        <v>8.8969583333333335E-4</v>
      </c>
      <c r="CF87" s="451" t="s">
        <v>685</v>
      </c>
      <c r="CG87" s="115">
        <v>0</v>
      </c>
      <c r="CH87" s="33">
        <v>0</v>
      </c>
      <c r="CI87" s="33"/>
      <c r="CJ87" s="33"/>
      <c r="CK87" s="115"/>
      <c r="CL87" s="7"/>
      <c r="CM87" s="115"/>
      <c r="CN87" s="7"/>
      <c r="CO87" s="115"/>
      <c r="CP87" s="115"/>
      <c r="CQ87" s="7"/>
      <c r="CR87" s="7"/>
      <c r="CS87" s="7"/>
      <c r="CT87" s="115"/>
      <c r="CU87" s="115"/>
      <c r="CV87" s="7"/>
      <c r="CW87" s="115"/>
      <c r="CX87" s="115"/>
      <c r="CY87" s="7"/>
      <c r="CZ87" s="115"/>
      <c r="DA87" s="115"/>
      <c r="DB87" s="7"/>
      <c r="DC87" s="115"/>
      <c r="DD87" s="7"/>
      <c r="DE87" s="115"/>
      <c r="DF87" s="7"/>
      <c r="DG87" s="115"/>
      <c r="DH87" s="7"/>
      <c r="DI87" s="115"/>
      <c r="DJ87" s="7"/>
      <c r="DK87" s="115"/>
      <c r="DL87" s="7"/>
      <c r="DM87" s="115"/>
      <c r="DN87" s="7"/>
      <c r="DO87" s="115"/>
      <c r="DP87" s="14"/>
      <c r="DQ87" s="14"/>
      <c r="DR87" s="7"/>
      <c r="DS87" s="7"/>
      <c r="DT87" s="7"/>
      <c r="DU87" s="15"/>
      <c r="DV87" s="15"/>
      <c r="DW87" s="291"/>
      <c r="DX87" s="291"/>
      <c r="DY87" s="33"/>
      <c r="DZ87" s="36"/>
      <c r="EA87" s="109"/>
    </row>
    <row r="88" spans="1:131" s="1" customFormat="1" x14ac:dyDescent="0.25">
      <c r="A88" s="10" t="s">
        <v>30</v>
      </c>
      <c r="B88" s="24" t="s">
        <v>81</v>
      </c>
      <c r="C88" s="8" t="s">
        <v>228</v>
      </c>
      <c r="D88" s="24"/>
      <c r="E88" s="26">
        <v>415025</v>
      </c>
      <c r="F88" s="353">
        <v>4</v>
      </c>
      <c r="G88" s="359" t="s">
        <v>187</v>
      </c>
      <c r="H88" s="353">
        <v>1513</v>
      </c>
      <c r="I88" s="9" t="s">
        <v>41</v>
      </c>
      <c r="J88" s="10" t="s">
        <v>72</v>
      </c>
      <c r="K88" s="3">
        <v>4</v>
      </c>
      <c r="L88" s="11" t="s">
        <v>187</v>
      </c>
      <c r="M88" s="45"/>
      <c r="N88" s="11" t="s">
        <v>186</v>
      </c>
      <c r="O88" s="3" t="s">
        <v>190</v>
      </c>
      <c r="P88" s="11" t="s">
        <v>187</v>
      </c>
      <c r="Q88" s="11" t="s">
        <v>187</v>
      </c>
      <c r="R88" s="3">
        <v>270</v>
      </c>
      <c r="S88" s="3" t="s">
        <v>188</v>
      </c>
      <c r="T88" s="12" t="s">
        <v>26</v>
      </c>
      <c r="U88" s="12" t="s">
        <v>222</v>
      </c>
      <c r="V88" s="12"/>
      <c r="W88" s="12" t="s">
        <v>5</v>
      </c>
      <c r="X88" s="8" t="s">
        <v>53</v>
      </c>
      <c r="Y88" s="13" t="s">
        <v>98</v>
      </c>
      <c r="Z88" s="25" t="s">
        <v>92</v>
      </c>
      <c r="AA88" s="10" t="s">
        <v>176</v>
      </c>
      <c r="AB88" s="12" t="s">
        <v>8</v>
      </c>
      <c r="AC88" s="115">
        <v>0</v>
      </c>
      <c r="AD88" s="115"/>
      <c r="AE88" s="7">
        <f>AC88+AD88</f>
        <v>0</v>
      </c>
      <c r="AF88" s="7"/>
      <c r="AG88" s="7">
        <f t="shared" si="24"/>
        <v>0</v>
      </c>
      <c r="AH88" s="33"/>
      <c r="AI88" s="7">
        <f t="shared" si="25"/>
        <v>0</v>
      </c>
      <c r="AJ88" s="62"/>
      <c r="AK88" s="27">
        <f>4000000+2000000-2000000-2000000</f>
        <v>2000000</v>
      </c>
      <c r="AL88" s="36"/>
      <c r="AM88" s="33">
        <f t="shared" si="28"/>
        <v>2000000</v>
      </c>
      <c r="AN88" s="36">
        <v>0</v>
      </c>
      <c r="AO88" s="27">
        <v>0</v>
      </c>
      <c r="AP88" s="7">
        <f t="shared" si="29"/>
        <v>0</v>
      </c>
      <c r="AQ88" s="27"/>
      <c r="AR88" s="27"/>
      <c r="AS88" s="7">
        <f t="shared" si="30"/>
        <v>0</v>
      </c>
      <c r="AT88" s="27"/>
      <c r="AU88" s="27"/>
      <c r="AV88" s="7">
        <f t="shared" si="31"/>
        <v>0</v>
      </c>
      <c r="AW88" s="7"/>
      <c r="AX88" s="7"/>
      <c r="AY88" s="7">
        <f t="shared" si="107"/>
        <v>0</v>
      </c>
      <c r="AZ88" s="7"/>
      <c r="BA88" s="7"/>
      <c r="BB88" s="7">
        <f t="shared" si="32"/>
        <v>0</v>
      </c>
      <c r="BC88" s="7"/>
      <c r="BD88" s="7"/>
      <c r="BE88" s="7">
        <f t="shared" si="33"/>
        <v>0</v>
      </c>
      <c r="BF88" s="7"/>
      <c r="BG88" s="7"/>
      <c r="BH88" s="7">
        <f t="shared" si="34"/>
        <v>0</v>
      </c>
      <c r="BI88" s="7"/>
      <c r="BJ88" s="7"/>
      <c r="BK88" s="7">
        <f t="shared" si="35"/>
        <v>0</v>
      </c>
      <c r="BL88" s="7"/>
      <c r="BM88" s="7"/>
      <c r="BN88" s="7">
        <f t="shared" si="36"/>
        <v>0</v>
      </c>
      <c r="BO88" s="7"/>
      <c r="BP88" s="7"/>
      <c r="BQ88" s="7">
        <f t="shared" si="37"/>
        <v>0</v>
      </c>
      <c r="BR88" s="7"/>
      <c r="BS88" s="7"/>
      <c r="BT88" s="7">
        <f t="shared" si="38"/>
        <v>0</v>
      </c>
      <c r="BU88" s="7"/>
      <c r="BV88" s="7"/>
      <c r="BW88" s="7">
        <f t="shared" si="39"/>
        <v>0</v>
      </c>
      <c r="BX88" s="7"/>
      <c r="BY88" s="7">
        <f t="shared" si="109"/>
        <v>0</v>
      </c>
      <c r="BZ88" s="7">
        <f t="shared" si="110"/>
        <v>0</v>
      </c>
      <c r="CA88" s="7"/>
      <c r="CB88" s="7">
        <f t="shared" si="111"/>
        <v>2000000</v>
      </c>
      <c r="CC88" s="7">
        <f t="shared" si="112"/>
        <v>2000000</v>
      </c>
      <c r="CD88" s="15">
        <f t="shared" si="113"/>
        <v>0</v>
      </c>
      <c r="CE88" s="15">
        <f t="shared" si="114"/>
        <v>0</v>
      </c>
      <c r="CF88" s="451" t="s">
        <v>685</v>
      </c>
      <c r="CG88" s="115">
        <v>4000000</v>
      </c>
      <c r="CH88" s="33">
        <v>4000000</v>
      </c>
      <c r="CI88" s="33"/>
      <c r="CJ88" s="33"/>
      <c r="CK88" s="115"/>
      <c r="CL88" s="7">
        <f>CK88</f>
        <v>0</v>
      </c>
      <c r="CM88" s="115"/>
      <c r="CN88" s="7">
        <f>CM88</f>
        <v>0</v>
      </c>
      <c r="CO88" s="115"/>
      <c r="CP88" s="115"/>
      <c r="CQ88" s="7">
        <f t="shared" si="116"/>
        <v>0</v>
      </c>
      <c r="CR88" s="7">
        <f t="shared" si="117"/>
        <v>0</v>
      </c>
      <c r="CS88" s="7">
        <f t="shared" si="118"/>
        <v>0</v>
      </c>
      <c r="CT88" s="115"/>
      <c r="CU88" s="115"/>
      <c r="CV88" s="7">
        <f t="shared" si="119"/>
        <v>0</v>
      </c>
      <c r="CW88" s="115"/>
      <c r="CX88" s="115"/>
      <c r="CY88" s="7">
        <f t="shared" si="120"/>
        <v>0</v>
      </c>
      <c r="CZ88" s="115"/>
      <c r="DA88" s="115"/>
      <c r="DB88" s="7">
        <f t="shared" si="121"/>
        <v>0</v>
      </c>
      <c r="DC88" s="115"/>
      <c r="DD88" s="7">
        <f>DC88</f>
        <v>0</v>
      </c>
      <c r="DE88" s="115"/>
      <c r="DF88" s="7">
        <f>DE88</f>
        <v>0</v>
      </c>
      <c r="DG88" s="115"/>
      <c r="DH88" s="7">
        <f>DG88</f>
        <v>0</v>
      </c>
      <c r="DI88" s="115"/>
      <c r="DJ88" s="7">
        <f>DI88</f>
        <v>0</v>
      </c>
      <c r="DK88" s="115"/>
      <c r="DL88" s="7">
        <f>DK88</f>
        <v>0</v>
      </c>
      <c r="DM88" s="115"/>
      <c r="DN88" s="7">
        <f>DM88</f>
        <v>0</v>
      </c>
      <c r="DO88" s="115"/>
      <c r="DP88" s="14">
        <f t="shared" si="128"/>
        <v>0</v>
      </c>
      <c r="DQ88" s="14">
        <f t="shared" si="129"/>
        <v>0</v>
      </c>
      <c r="DR88" s="7"/>
      <c r="DS88" s="7">
        <f t="shared" si="130"/>
        <v>0</v>
      </c>
      <c r="DT88" s="7">
        <f t="shared" si="131"/>
        <v>0</v>
      </c>
      <c r="DU88" s="15" t="e">
        <f>DP88/AG88</f>
        <v>#DIV/0!</v>
      </c>
      <c r="DV88" s="15" t="e">
        <f>DQ88/AG88</f>
        <v>#DIV/0!</v>
      </c>
      <c r="DW88" s="15"/>
      <c r="DX88" s="15"/>
      <c r="DY88" s="7"/>
      <c r="DZ88" s="12"/>
      <c r="EA88" s="109"/>
    </row>
    <row r="89" spans="1:131" s="1" customFormat="1" x14ac:dyDescent="0.25">
      <c r="A89" s="10" t="s">
        <v>30</v>
      </c>
      <c r="B89" s="24"/>
      <c r="C89" s="8" t="s">
        <v>228</v>
      </c>
      <c r="D89" s="24"/>
      <c r="E89" s="26">
        <v>415025</v>
      </c>
      <c r="F89" s="353">
        <v>6</v>
      </c>
      <c r="G89" s="359" t="s">
        <v>187</v>
      </c>
      <c r="H89" s="353">
        <v>1507</v>
      </c>
      <c r="I89" s="9" t="s">
        <v>41</v>
      </c>
      <c r="J89" s="10" t="s">
        <v>72</v>
      </c>
      <c r="K89" s="3"/>
      <c r="L89" s="11"/>
      <c r="M89" s="45"/>
      <c r="N89" s="11" t="s">
        <v>186</v>
      </c>
      <c r="O89" s="3" t="s">
        <v>190</v>
      </c>
      <c r="P89" s="11" t="s">
        <v>187</v>
      </c>
      <c r="Q89" s="11" t="s">
        <v>187</v>
      </c>
      <c r="R89" s="3">
        <v>280</v>
      </c>
      <c r="S89" s="11" t="s">
        <v>259</v>
      </c>
      <c r="T89" s="12" t="s">
        <v>26</v>
      </c>
      <c r="U89" s="12" t="s">
        <v>222</v>
      </c>
      <c r="V89" s="12"/>
      <c r="W89" s="12" t="s">
        <v>5</v>
      </c>
      <c r="X89" s="8" t="s">
        <v>53</v>
      </c>
      <c r="Y89" s="13" t="s">
        <v>98</v>
      </c>
      <c r="Z89" s="25" t="s">
        <v>92</v>
      </c>
      <c r="AA89" s="10" t="s">
        <v>710</v>
      </c>
      <c r="AB89" s="12" t="s">
        <v>697</v>
      </c>
      <c r="AC89" s="115"/>
      <c r="AD89" s="115"/>
      <c r="AE89" s="7"/>
      <c r="AF89" s="7"/>
      <c r="AG89" s="7"/>
      <c r="AH89" s="33"/>
      <c r="AI89" s="7"/>
      <c r="AJ89" s="62"/>
      <c r="AK89" s="27"/>
      <c r="AL89" s="36">
        <v>7154862</v>
      </c>
      <c r="AM89" s="33">
        <f t="shared" si="28"/>
        <v>7154862</v>
      </c>
      <c r="AN89" s="36"/>
      <c r="AO89" s="27"/>
      <c r="AP89" s="7">
        <f t="shared" si="29"/>
        <v>0</v>
      </c>
      <c r="AQ89" s="27"/>
      <c r="AR89" s="27"/>
      <c r="AS89" s="7">
        <f t="shared" si="30"/>
        <v>0</v>
      </c>
      <c r="AT89" s="27">
        <v>362979.88</v>
      </c>
      <c r="AU89" s="27"/>
      <c r="AV89" s="7">
        <f t="shared" si="31"/>
        <v>362979.88</v>
      </c>
      <c r="AW89" s="7"/>
      <c r="AX89" s="7"/>
      <c r="AY89" s="7">
        <f t="shared" si="107"/>
        <v>0</v>
      </c>
      <c r="AZ89" s="7"/>
      <c r="BA89" s="7"/>
      <c r="BB89" s="7"/>
      <c r="BC89" s="7"/>
      <c r="BD89" s="7"/>
      <c r="BE89" s="7"/>
      <c r="BF89" s="7"/>
      <c r="BG89" s="7"/>
      <c r="BH89" s="7"/>
      <c r="BI89" s="7"/>
      <c r="BJ89" s="7"/>
      <c r="BK89" s="7"/>
      <c r="BL89" s="7"/>
      <c r="BM89" s="7"/>
      <c r="BN89" s="7"/>
      <c r="BO89" s="7"/>
      <c r="BP89" s="7"/>
      <c r="BQ89" s="7"/>
      <c r="BR89" s="7"/>
      <c r="BS89" s="7"/>
      <c r="BT89" s="7"/>
      <c r="BU89" s="7"/>
      <c r="BV89" s="7"/>
      <c r="BW89" s="7"/>
      <c r="BX89" s="7">
        <v>84720.82</v>
      </c>
      <c r="BY89" s="7">
        <f t="shared" si="109"/>
        <v>362979.88</v>
      </c>
      <c r="BZ89" s="7">
        <f t="shared" si="110"/>
        <v>362979.88</v>
      </c>
      <c r="CA89" s="7"/>
      <c r="CB89" s="7">
        <f t="shared" si="111"/>
        <v>6791882.1200000001</v>
      </c>
      <c r="CC89" s="7">
        <f t="shared" si="112"/>
        <v>6791882.1200000001</v>
      </c>
      <c r="CD89" s="15">
        <f t="shared" si="113"/>
        <v>5.0731919078243579E-2</v>
      </c>
      <c r="CE89" s="15">
        <f t="shared" si="114"/>
        <v>5.0731919078243579E-2</v>
      </c>
      <c r="CF89" s="451" t="s">
        <v>685</v>
      </c>
      <c r="CG89" s="115"/>
      <c r="CH89" s="33"/>
      <c r="CI89" s="33"/>
      <c r="CJ89" s="33"/>
      <c r="CK89" s="115"/>
      <c r="CL89" s="7"/>
      <c r="CM89" s="115"/>
      <c r="CN89" s="7"/>
      <c r="CO89" s="115"/>
      <c r="CP89" s="115"/>
      <c r="CQ89" s="7"/>
      <c r="CR89" s="7"/>
      <c r="CS89" s="7"/>
      <c r="CT89" s="115"/>
      <c r="CU89" s="115"/>
      <c r="CV89" s="7"/>
      <c r="CW89" s="115"/>
      <c r="CX89" s="115"/>
      <c r="CY89" s="7"/>
      <c r="CZ89" s="115"/>
      <c r="DA89" s="115"/>
      <c r="DB89" s="7"/>
      <c r="DC89" s="115"/>
      <c r="DD89" s="7"/>
      <c r="DE89" s="115"/>
      <c r="DF89" s="7"/>
      <c r="DG89" s="115"/>
      <c r="DH89" s="7"/>
      <c r="DI89" s="115"/>
      <c r="DJ89" s="7"/>
      <c r="DK89" s="115"/>
      <c r="DL89" s="7"/>
      <c r="DM89" s="115"/>
      <c r="DN89" s="7"/>
      <c r="DO89" s="115"/>
      <c r="DP89" s="14"/>
      <c r="DQ89" s="14"/>
      <c r="DR89" s="7"/>
      <c r="DS89" s="7"/>
      <c r="DT89" s="7"/>
      <c r="DU89" s="15"/>
      <c r="DV89" s="15"/>
      <c r="DW89" s="291"/>
      <c r="DX89" s="291"/>
      <c r="DY89" s="33"/>
      <c r="DZ89" s="9"/>
      <c r="EA89" s="109"/>
    </row>
    <row r="90" spans="1:131" s="1" customFormat="1" x14ac:dyDescent="0.25">
      <c r="A90" s="10" t="s">
        <v>30</v>
      </c>
      <c r="B90" s="24"/>
      <c r="C90" s="8" t="s">
        <v>228</v>
      </c>
      <c r="D90" s="24"/>
      <c r="E90" s="26">
        <v>415025</v>
      </c>
      <c r="F90" s="353">
        <v>6</v>
      </c>
      <c r="G90" s="359" t="s">
        <v>187</v>
      </c>
      <c r="H90" s="353">
        <v>1508</v>
      </c>
      <c r="I90" s="9" t="s">
        <v>41</v>
      </c>
      <c r="J90" s="10" t="s">
        <v>72</v>
      </c>
      <c r="K90" s="3"/>
      <c r="L90" s="11"/>
      <c r="M90" s="45"/>
      <c r="N90" s="11" t="s">
        <v>186</v>
      </c>
      <c r="O90" s="3" t="s">
        <v>190</v>
      </c>
      <c r="P90" s="11" t="s">
        <v>187</v>
      </c>
      <c r="Q90" s="11" t="s">
        <v>187</v>
      </c>
      <c r="R90" s="3">
        <v>280</v>
      </c>
      <c r="S90" s="11" t="s">
        <v>259</v>
      </c>
      <c r="T90" s="12" t="s">
        <v>26</v>
      </c>
      <c r="U90" s="12" t="s">
        <v>222</v>
      </c>
      <c r="V90" s="12"/>
      <c r="W90" s="12" t="s">
        <v>5</v>
      </c>
      <c r="X90" s="8" t="s">
        <v>53</v>
      </c>
      <c r="Y90" s="13" t="s">
        <v>98</v>
      </c>
      <c r="Z90" s="25" t="s">
        <v>92</v>
      </c>
      <c r="AA90" s="10" t="s">
        <v>711</v>
      </c>
      <c r="AB90" s="12" t="s">
        <v>697</v>
      </c>
      <c r="AC90" s="115"/>
      <c r="AD90" s="115"/>
      <c r="AE90" s="7"/>
      <c r="AF90" s="7"/>
      <c r="AG90" s="7"/>
      <c r="AH90" s="33"/>
      <c r="AI90" s="7"/>
      <c r="AJ90" s="62"/>
      <c r="AK90" s="27"/>
      <c r="AL90" s="36">
        <v>137926</v>
      </c>
      <c r="AM90" s="33">
        <f t="shared" si="28"/>
        <v>137926</v>
      </c>
      <c r="AN90" s="36"/>
      <c r="AO90" s="27"/>
      <c r="AP90" s="7">
        <f t="shared" si="29"/>
        <v>0</v>
      </c>
      <c r="AQ90" s="27"/>
      <c r="AR90" s="27"/>
      <c r="AS90" s="7">
        <f t="shared" si="30"/>
        <v>0</v>
      </c>
      <c r="AT90" s="27"/>
      <c r="AU90" s="27"/>
      <c r="AV90" s="7">
        <f t="shared" si="31"/>
        <v>0</v>
      </c>
      <c r="AW90" s="7"/>
      <c r="AX90" s="7"/>
      <c r="AY90" s="7">
        <f t="shared" si="107"/>
        <v>0</v>
      </c>
      <c r="AZ90" s="7"/>
      <c r="BA90" s="7"/>
      <c r="BB90" s="7"/>
      <c r="BC90" s="7"/>
      <c r="BD90" s="7"/>
      <c r="BE90" s="7"/>
      <c r="BF90" s="7"/>
      <c r="BG90" s="7"/>
      <c r="BH90" s="7"/>
      <c r="BI90" s="7"/>
      <c r="BJ90" s="7"/>
      <c r="BK90" s="7"/>
      <c r="BL90" s="7"/>
      <c r="BM90" s="7"/>
      <c r="BN90" s="7"/>
      <c r="BO90" s="7"/>
      <c r="BP90" s="7"/>
      <c r="BQ90" s="7"/>
      <c r="BR90" s="7"/>
      <c r="BS90" s="7"/>
      <c r="BT90" s="7"/>
      <c r="BU90" s="7"/>
      <c r="BV90" s="7"/>
      <c r="BW90" s="7"/>
      <c r="BX90" s="7">
        <v>114824.56</v>
      </c>
      <c r="BY90" s="7">
        <f t="shared" si="109"/>
        <v>0</v>
      </c>
      <c r="BZ90" s="7">
        <f t="shared" si="110"/>
        <v>0</v>
      </c>
      <c r="CA90" s="7"/>
      <c r="CB90" s="7">
        <f t="shared" si="111"/>
        <v>137926</v>
      </c>
      <c r="CC90" s="7">
        <f t="shared" si="112"/>
        <v>137926</v>
      </c>
      <c r="CD90" s="15">
        <f t="shared" si="113"/>
        <v>0</v>
      </c>
      <c r="CE90" s="15">
        <f t="shared" si="114"/>
        <v>0</v>
      </c>
      <c r="CF90" s="451" t="s">
        <v>685</v>
      </c>
      <c r="CG90" s="115"/>
      <c r="CH90" s="33"/>
      <c r="CI90" s="33"/>
      <c r="CJ90" s="33"/>
      <c r="CK90" s="115"/>
      <c r="CL90" s="7"/>
      <c r="CM90" s="115"/>
      <c r="CN90" s="7"/>
      <c r="CO90" s="115"/>
      <c r="CP90" s="115"/>
      <c r="CQ90" s="7"/>
      <c r="CR90" s="7"/>
      <c r="CS90" s="7"/>
      <c r="CT90" s="115"/>
      <c r="CU90" s="115"/>
      <c r="CV90" s="7"/>
      <c r="CW90" s="115"/>
      <c r="CX90" s="115"/>
      <c r="CY90" s="7"/>
      <c r="CZ90" s="115"/>
      <c r="DA90" s="115"/>
      <c r="DB90" s="7"/>
      <c r="DC90" s="115"/>
      <c r="DD90" s="7"/>
      <c r="DE90" s="115"/>
      <c r="DF90" s="7"/>
      <c r="DG90" s="115"/>
      <c r="DH90" s="7"/>
      <c r="DI90" s="115"/>
      <c r="DJ90" s="7"/>
      <c r="DK90" s="115"/>
      <c r="DL90" s="7"/>
      <c r="DM90" s="115"/>
      <c r="DN90" s="7"/>
      <c r="DO90" s="115"/>
      <c r="DP90" s="14"/>
      <c r="DQ90" s="14"/>
      <c r="DR90" s="7"/>
      <c r="DS90" s="7"/>
      <c r="DT90" s="7"/>
      <c r="DU90" s="15"/>
      <c r="DV90" s="15"/>
      <c r="DW90" s="291"/>
      <c r="DX90" s="291"/>
      <c r="DY90" s="33"/>
      <c r="DZ90" s="9"/>
      <c r="EA90" s="109"/>
    </row>
    <row r="91" spans="1:131" s="1" customFormat="1" x14ac:dyDescent="0.25">
      <c r="A91" s="10" t="s">
        <v>30</v>
      </c>
      <c r="B91" s="24"/>
      <c r="C91" s="8" t="s">
        <v>228</v>
      </c>
      <c r="D91" s="24"/>
      <c r="E91" s="26">
        <v>415025</v>
      </c>
      <c r="F91" s="353">
        <v>6</v>
      </c>
      <c r="G91" s="359" t="s">
        <v>187</v>
      </c>
      <c r="H91" s="353">
        <v>1509</v>
      </c>
      <c r="I91" s="9" t="s">
        <v>41</v>
      </c>
      <c r="J91" s="10" t="s">
        <v>72</v>
      </c>
      <c r="K91" s="3"/>
      <c r="L91" s="11"/>
      <c r="M91" s="45"/>
      <c r="N91" s="11" t="s">
        <v>186</v>
      </c>
      <c r="O91" s="3" t="s">
        <v>190</v>
      </c>
      <c r="P91" s="11" t="s">
        <v>187</v>
      </c>
      <c r="Q91" s="11" t="s">
        <v>187</v>
      </c>
      <c r="R91" s="3">
        <v>280</v>
      </c>
      <c r="S91" s="11" t="s">
        <v>259</v>
      </c>
      <c r="T91" s="12" t="s">
        <v>26</v>
      </c>
      <c r="U91" s="12" t="s">
        <v>222</v>
      </c>
      <c r="V91" s="12"/>
      <c r="W91" s="12" t="s">
        <v>5</v>
      </c>
      <c r="X91" s="8" t="s">
        <v>53</v>
      </c>
      <c r="Y91" s="13" t="s">
        <v>98</v>
      </c>
      <c r="Z91" s="25" t="s">
        <v>92</v>
      </c>
      <c r="AA91" s="10" t="s">
        <v>712</v>
      </c>
      <c r="AB91" s="12" t="s">
        <v>697</v>
      </c>
      <c r="AC91" s="115"/>
      <c r="AD91" s="115"/>
      <c r="AE91" s="7"/>
      <c r="AF91" s="7"/>
      <c r="AG91" s="7"/>
      <c r="AH91" s="33"/>
      <c r="AI91" s="7"/>
      <c r="AJ91" s="62"/>
      <c r="AK91" s="27"/>
      <c r="AL91" s="36">
        <v>723345</v>
      </c>
      <c r="AM91" s="33">
        <f t="shared" si="28"/>
        <v>723345</v>
      </c>
      <c r="AN91" s="36"/>
      <c r="AO91" s="27"/>
      <c r="AP91" s="7">
        <f t="shared" si="29"/>
        <v>0</v>
      </c>
      <c r="AQ91" s="27"/>
      <c r="AR91" s="27"/>
      <c r="AS91" s="7">
        <f t="shared" si="30"/>
        <v>0</v>
      </c>
      <c r="AT91" s="27"/>
      <c r="AU91" s="27"/>
      <c r="AV91" s="7">
        <f t="shared" si="31"/>
        <v>0</v>
      </c>
      <c r="AW91" s="7"/>
      <c r="AX91" s="7"/>
      <c r="AY91" s="7">
        <f t="shared" si="107"/>
        <v>0</v>
      </c>
      <c r="AZ91" s="7"/>
      <c r="BA91" s="7"/>
      <c r="BB91" s="7"/>
      <c r="BC91" s="7"/>
      <c r="BD91" s="7"/>
      <c r="BE91" s="7"/>
      <c r="BF91" s="7"/>
      <c r="BG91" s="7"/>
      <c r="BH91" s="7"/>
      <c r="BI91" s="7"/>
      <c r="BJ91" s="7"/>
      <c r="BK91" s="7"/>
      <c r="BL91" s="7"/>
      <c r="BM91" s="7"/>
      <c r="BN91" s="7"/>
      <c r="BO91" s="7"/>
      <c r="BP91" s="7"/>
      <c r="BQ91" s="7"/>
      <c r="BR91" s="7"/>
      <c r="BS91" s="7"/>
      <c r="BT91" s="7"/>
      <c r="BU91" s="7"/>
      <c r="BV91" s="7"/>
      <c r="BW91" s="7"/>
      <c r="BX91" s="7">
        <v>122807.83</v>
      </c>
      <c r="BY91" s="7">
        <f t="shared" si="109"/>
        <v>0</v>
      </c>
      <c r="BZ91" s="7">
        <f t="shared" si="110"/>
        <v>0</v>
      </c>
      <c r="CA91" s="7"/>
      <c r="CB91" s="7">
        <f t="shared" si="111"/>
        <v>723345</v>
      </c>
      <c r="CC91" s="7">
        <f t="shared" si="112"/>
        <v>723345</v>
      </c>
      <c r="CD91" s="15">
        <f t="shared" si="113"/>
        <v>0</v>
      </c>
      <c r="CE91" s="15">
        <f t="shared" si="114"/>
        <v>0</v>
      </c>
      <c r="CF91" s="451" t="s">
        <v>685</v>
      </c>
      <c r="CG91" s="115"/>
      <c r="CH91" s="33"/>
      <c r="CI91" s="33"/>
      <c r="CJ91" s="33"/>
      <c r="CK91" s="115"/>
      <c r="CL91" s="7"/>
      <c r="CM91" s="115"/>
      <c r="CN91" s="7"/>
      <c r="CO91" s="115"/>
      <c r="CP91" s="115"/>
      <c r="CQ91" s="7"/>
      <c r="CR91" s="7"/>
      <c r="CS91" s="7"/>
      <c r="CT91" s="115"/>
      <c r="CU91" s="115"/>
      <c r="CV91" s="7"/>
      <c r="CW91" s="115"/>
      <c r="CX91" s="115"/>
      <c r="CY91" s="7"/>
      <c r="CZ91" s="115"/>
      <c r="DA91" s="115"/>
      <c r="DB91" s="7"/>
      <c r="DC91" s="115"/>
      <c r="DD91" s="7"/>
      <c r="DE91" s="115"/>
      <c r="DF91" s="7"/>
      <c r="DG91" s="115"/>
      <c r="DH91" s="7"/>
      <c r="DI91" s="115"/>
      <c r="DJ91" s="7"/>
      <c r="DK91" s="115"/>
      <c r="DL91" s="7"/>
      <c r="DM91" s="115"/>
      <c r="DN91" s="7"/>
      <c r="DO91" s="115"/>
      <c r="DP91" s="14"/>
      <c r="DQ91" s="14"/>
      <c r="DR91" s="7"/>
      <c r="DS91" s="7"/>
      <c r="DT91" s="7"/>
      <c r="DU91" s="15"/>
      <c r="DV91" s="15"/>
      <c r="DW91" s="291"/>
      <c r="DX91" s="291"/>
      <c r="DY91" s="33"/>
      <c r="DZ91" s="9"/>
      <c r="EA91" s="109"/>
    </row>
    <row r="92" spans="1:131" s="1" customFormat="1" x14ac:dyDescent="0.25">
      <c r="A92" s="10" t="s">
        <v>30</v>
      </c>
      <c r="B92" s="24" t="s">
        <v>81</v>
      </c>
      <c r="C92" s="8" t="s">
        <v>228</v>
      </c>
      <c r="D92" s="24"/>
      <c r="E92" s="26">
        <v>415025</v>
      </c>
      <c r="F92" s="353">
        <v>4</v>
      </c>
      <c r="G92" s="359" t="s">
        <v>187</v>
      </c>
      <c r="H92" s="354">
        <v>1514</v>
      </c>
      <c r="I92" s="9" t="s">
        <v>41</v>
      </c>
      <c r="J92" s="10" t="s">
        <v>72</v>
      </c>
      <c r="K92" s="3">
        <v>4</v>
      </c>
      <c r="L92" s="11" t="s">
        <v>187</v>
      </c>
      <c r="M92" s="45"/>
      <c r="N92" s="11" t="s">
        <v>186</v>
      </c>
      <c r="O92" s="3" t="s">
        <v>190</v>
      </c>
      <c r="P92" s="11" t="s">
        <v>187</v>
      </c>
      <c r="Q92" s="11" t="s">
        <v>187</v>
      </c>
      <c r="R92" s="3">
        <v>270</v>
      </c>
      <c r="S92" s="3" t="s">
        <v>188</v>
      </c>
      <c r="T92" s="12" t="s">
        <v>26</v>
      </c>
      <c r="U92" s="12" t="s">
        <v>222</v>
      </c>
      <c r="V92" s="12"/>
      <c r="W92" s="12" t="s">
        <v>5</v>
      </c>
      <c r="X92" s="8" t="s">
        <v>53</v>
      </c>
      <c r="Y92" s="13" t="s">
        <v>98</v>
      </c>
      <c r="Z92" s="25" t="s">
        <v>92</v>
      </c>
      <c r="AA92" s="10" t="s">
        <v>177</v>
      </c>
      <c r="AB92" s="12" t="s">
        <v>8</v>
      </c>
      <c r="AC92" s="115">
        <v>1000000</v>
      </c>
      <c r="AD92" s="115"/>
      <c r="AE92" s="7">
        <f>AC92+AD92</f>
        <v>1000000</v>
      </c>
      <c r="AF92" s="7"/>
      <c r="AG92" s="7">
        <f t="shared" si="24"/>
        <v>1000000</v>
      </c>
      <c r="AH92" s="33"/>
      <c r="AI92" s="7">
        <f t="shared" si="25"/>
        <v>1000000</v>
      </c>
      <c r="AJ92" s="62"/>
      <c r="AK92" s="27">
        <f>4000000-2000000</f>
        <v>2000000</v>
      </c>
      <c r="AL92" s="36"/>
      <c r="AM92" s="33">
        <f t="shared" si="28"/>
        <v>2000000</v>
      </c>
      <c r="AN92" s="36">
        <v>0</v>
      </c>
      <c r="AO92" s="27">
        <v>0</v>
      </c>
      <c r="AP92" s="7">
        <f t="shared" si="29"/>
        <v>0</v>
      </c>
      <c r="AQ92" s="27"/>
      <c r="AR92" s="27"/>
      <c r="AS92" s="7">
        <f t="shared" si="30"/>
        <v>0</v>
      </c>
      <c r="AT92" s="27">
        <v>53630.52</v>
      </c>
      <c r="AU92" s="27"/>
      <c r="AV92" s="7">
        <f t="shared" si="31"/>
        <v>53630.52</v>
      </c>
      <c r="AW92" s="7">
        <v>353865.69</v>
      </c>
      <c r="AX92" s="7"/>
      <c r="AY92" s="7">
        <f t="shared" si="107"/>
        <v>353865.69</v>
      </c>
      <c r="AZ92" s="7"/>
      <c r="BA92" s="7"/>
      <c r="BB92" s="7">
        <f t="shared" si="32"/>
        <v>0</v>
      </c>
      <c r="BC92" s="7"/>
      <c r="BD92" s="7"/>
      <c r="BE92" s="7">
        <f t="shared" si="33"/>
        <v>0</v>
      </c>
      <c r="BF92" s="7"/>
      <c r="BG92" s="7"/>
      <c r="BH92" s="7">
        <f t="shared" si="34"/>
        <v>0</v>
      </c>
      <c r="BI92" s="7"/>
      <c r="BJ92" s="7"/>
      <c r="BK92" s="7">
        <f t="shared" si="35"/>
        <v>0</v>
      </c>
      <c r="BL92" s="7"/>
      <c r="BM92" s="7"/>
      <c r="BN92" s="7">
        <f t="shared" si="36"/>
        <v>0</v>
      </c>
      <c r="BO92" s="7"/>
      <c r="BP92" s="7"/>
      <c r="BQ92" s="7">
        <f t="shared" si="37"/>
        <v>0</v>
      </c>
      <c r="BR92" s="7"/>
      <c r="BS92" s="7"/>
      <c r="BT92" s="7">
        <f t="shared" si="38"/>
        <v>0</v>
      </c>
      <c r="BU92" s="7"/>
      <c r="BV92" s="7"/>
      <c r="BW92" s="7">
        <f t="shared" si="39"/>
        <v>0</v>
      </c>
      <c r="BX92" s="7">
        <v>322596.28999999998</v>
      </c>
      <c r="BY92" s="7">
        <f t="shared" si="109"/>
        <v>407496.21</v>
      </c>
      <c r="BZ92" s="7">
        <f t="shared" si="110"/>
        <v>407496.21</v>
      </c>
      <c r="CA92" s="7"/>
      <c r="CB92" s="7">
        <f t="shared" si="111"/>
        <v>1592503.79</v>
      </c>
      <c r="CC92" s="7">
        <f t="shared" si="112"/>
        <v>1592503.79</v>
      </c>
      <c r="CD92" s="15">
        <f t="shared" si="113"/>
        <v>0.20374810500000001</v>
      </c>
      <c r="CE92" s="15">
        <f t="shared" si="114"/>
        <v>0.20374810500000001</v>
      </c>
      <c r="CF92" s="451" t="s">
        <v>685</v>
      </c>
      <c r="CG92" s="115">
        <f>3000000-3000000</f>
        <v>0</v>
      </c>
      <c r="CH92" s="33">
        <f>3000000-3000000</f>
        <v>0</v>
      </c>
      <c r="CI92" s="33"/>
      <c r="CJ92" s="33"/>
      <c r="CK92" s="115"/>
      <c r="CL92" s="7">
        <f t="shared" si="115"/>
        <v>0</v>
      </c>
      <c r="CM92" s="115"/>
      <c r="CN92" s="7">
        <f>CM92</f>
        <v>0</v>
      </c>
      <c r="CO92" s="115"/>
      <c r="CP92" s="115"/>
      <c r="CQ92" s="7">
        <f t="shared" si="116"/>
        <v>0</v>
      </c>
      <c r="CR92" s="7">
        <f t="shared" si="117"/>
        <v>0</v>
      </c>
      <c r="CS92" s="7">
        <f t="shared" si="118"/>
        <v>0</v>
      </c>
      <c r="CT92" s="115">
        <v>491628.54</v>
      </c>
      <c r="CU92" s="115"/>
      <c r="CV92" s="7">
        <f t="shared" si="119"/>
        <v>491628.54</v>
      </c>
      <c r="CW92" s="115">
        <v>295850.02</v>
      </c>
      <c r="CX92" s="115"/>
      <c r="CY92" s="7">
        <f t="shared" si="120"/>
        <v>295850.02</v>
      </c>
      <c r="CZ92" s="115">
        <v>110520</v>
      </c>
      <c r="DA92" s="115"/>
      <c r="DB92" s="7">
        <f t="shared" si="121"/>
        <v>110520</v>
      </c>
      <c r="DC92" s="115"/>
      <c r="DD92" s="7">
        <f t="shared" si="122"/>
        <v>0</v>
      </c>
      <c r="DE92" s="115"/>
      <c r="DF92" s="7">
        <f t="shared" si="123"/>
        <v>0</v>
      </c>
      <c r="DG92" s="115"/>
      <c r="DH92" s="7">
        <f t="shared" si="124"/>
        <v>0</v>
      </c>
      <c r="DI92" s="115"/>
      <c r="DJ92" s="7">
        <f t="shared" si="125"/>
        <v>0</v>
      </c>
      <c r="DK92" s="115"/>
      <c r="DL92" s="7">
        <f t="shared" si="126"/>
        <v>0</v>
      </c>
      <c r="DM92" s="115"/>
      <c r="DN92" s="7">
        <f t="shared" si="127"/>
        <v>0</v>
      </c>
      <c r="DO92" s="115">
        <v>82826.350000000006</v>
      </c>
      <c r="DP92" s="14">
        <f t="shared" si="128"/>
        <v>897998.56</v>
      </c>
      <c r="DQ92" s="14">
        <f t="shared" si="129"/>
        <v>897998.56</v>
      </c>
      <c r="DR92" s="7"/>
      <c r="DS92" s="7">
        <f t="shared" si="130"/>
        <v>102001.43999999994</v>
      </c>
      <c r="DT92" s="7">
        <f t="shared" si="131"/>
        <v>102001.43999999994</v>
      </c>
      <c r="DU92" s="15">
        <f>DP92/AG92</f>
        <v>0.89799856</v>
      </c>
      <c r="DV92" s="15">
        <f>DQ92/AG92</f>
        <v>0.89799856</v>
      </c>
      <c r="DW92" s="291"/>
      <c r="DX92" s="291"/>
      <c r="DY92" s="33"/>
      <c r="DZ92" s="36"/>
      <c r="EA92" s="109"/>
    </row>
    <row r="93" spans="1:131" s="1" customFormat="1" x14ac:dyDescent="0.25">
      <c r="A93" s="10" t="s">
        <v>30</v>
      </c>
      <c r="B93" s="24" t="s">
        <v>81</v>
      </c>
      <c r="C93" s="8" t="s">
        <v>228</v>
      </c>
      <c r="D93" s="24"/>
      <c r="E93" s="26">
        <v>415025</v>
      </c>
      <c r="F93" s="353">
        <v>4</v>
      </c>
      <c r="G93" s="359" t="s">
        <v>187</v>
      </c>
      <c r="H93" s="353">
        <v>1515</v>
      </c>
      <c r="I93" s="9" t="s">
        <v>41</v>
      </c>
      <c r="J93" s="10" t="s">
        <v>72</v>
      </c>
      <c r="K93" s="3">
        <v>4</v>
      </c>
      <c r="L93" s="11" t="s">
        <v>187</v>
      </c>
      <c r="M93" s="45"/>
      <c r="N93" s="11" t="s">
        <v>186</v>
      </c>
      <c r="O93" s="3" t="s">
        <v>190</v>
      </c>
      <c r="P93" s="11" t="s">
        <v>187</v>
      </c>
      <c r="Q93" s="11" t="s">
        <v>187</v>
      </c>
      <c r="R93" s="3">
        <v>270</v>
      </c>
      <c r="S93" s="3" t="s">
        <v>188</v>
      </c>
      <c r="T93" s="12" t="s">
        <v>26</v>
      </c>
      <c r="U93" s="12" t="s">
        <v>222</v>
      </c>
      <c r="V93" s="12"/>
      <c r="W93" s="12" t="s">
        <v>5</v>
      </c>
      <c r="X93" s="8" t="s">
        <v>53</v>
      </c>
      <c r="Y93" s="13" t="s">
        <v>98</v>
      </c>
      <c r="Z93" s="25" t="s">
        <v>92</v>
      </c>
      <c r="AA93" s="10" t="s">
        <v>494</v>
      </c>
      <c r="AB93" s="12" t="s">
        <v>8</v>
      </c>
      <c r="AC93" s="115"/>
      <c r="AD93" s="115"/>
      <c r="AE93" s="7"/>
      <c r="AF93" s="7"/>
      <c r="AG93" s="7">
        <f t="shared" si="24"/>
        <v>0</v>
      </c>
      <c r="AH93" s="33"/>
      <c r="AI93" s="7">
        <f t="shared" si="25"/>
        <v>0</v>
      </c>
      <c r="AJ93" s="62"/>
      <c r="AK93" s="27">
        <f>3000000-2500000</f>
        <v>500000</v>
      </c>
      <c r="AL93" s="36"/>
      <c r="AM93" s="33">
        <f t="shared" si="28"/>
        <v>500000</v>
      </c>
      <c r="AN93" s="36">
        <v>0</v>
      </c>
      <c r="AO93" s="27">
        <v>0</v>
      </c>
      <c r="AP93" s="7">
        <f t="shared" ref="AP93:AP198" si="132">AN93+AO93</f>
        <v>0</v>
      </c>
      <c r="AQ93" s="27"/>
      <c r="AR93" s="27"/>
      <c r="AS93" s="7">
        <f t="shared" ref="AS93:AS100" si="133">AQ93+AR93</f>
        <v>0</v>
      </c>
      <c r="AT93" s="27"/>
      <c r="AU93" s="27"/>
      <c r="AV93" s="7">
        <f t="shared" ref="AV93:AV100" si="134">AT93+AU93</f>
        <v>0</v>
      </c>
      <c r="AW93" s="7"/>
      <c r="AX93" s="7"/>
      <c r="AY93" s="7">
        <f t="shared" si="107"/>
        <v>0</v>
      </c>
      <c r="AZ93" s="7"/>
      <c r="BA93" s="7"/>
      <c r="BB93" s="7">
        <f t="shared" ref="BB93:BB197" si="135">AZ93+BA93</f>
        <v>0</v>
      </c>
      <c r="BC93" s="7"/>
      <c r="BD93" s="7"/>
      <c r="BE93" s="7">
        <f t="shared" ref="BE93:BE197" si="136">BC93+BD93</f>
        <v>0</v>
      </c>
      <c r="BF93" s="7"/>
      <c r="BG93" s="7"/>
      <c r="BH93" s="7">
        <f t="shared" ref="BH93:BH197" si="137">BF93+BG93</f>
        <v>0</v>
      </c>
      <c r="BI93" s="7"/>
      <c r="BJ93" s="7"/>
      <c r="BK93" s="7">
        <f t="shared" ref="BK93:BK197" si="138">BI93+BJ93</f>
        <v>0</v>
      </c>
      <c r="BL93" s="7"/>
      <c r="BM93" s="7"/>
      <c r="BN93" s="7">
        <f t="shared" ref="BN93:BN197" si="139">BL93+BM93</f>
        <v>0</v>
      </c>
      <c r="BO93" s="7"/>
      <c r="BP93" s="7"/>
      <c r="BQ93" s="7">
        <f t="shared" ref="BQ93:BQ197" si="140">BO93+BP93</f>
        <v>0</v>
      </c>
      <c r="BR93" s="7"/>
      <c r="BS93" s="7"/>
      <c r="BT93" s="7">
        <f t="shared" ref="BT93:BT197" si="141">BR93+BS93</f>
        <v>0</v>
      </c>
      <c r="BU93" s="7"/>
      <c r="BV93" s="7"/>
      <c r="BW93" s="7">
        <f t="shared" ref="BW93:BW197" si="142">BU93+BV93</f>
        <v>0</v>
      </c>
      <c r="BX93" s="7"/>
      <c r="BY93" s="7">
        <f t="shared" si="109"/>
        <v>0</v>
      </c>
      <c r="BZ93" s="7">
        <f t="shared" si="110"/>
        <v>0</v>
      </c>
      <c r="CA93" s="7"/>
      <c r="CB93" s="7">
        <f t="shared" si="111"/>
        <v>500000</v>
      </c>
      <c r="CC93" s="7">
        <f t="shared" si="112"/>
        <v>500000</v>
      </c>
      <c r="CD93" s="15">
        <f t="shared" si="113"/>
        <v>0</v>
      </c>
      <c r="CE93" s="15">
        <f t="shared" si="114"/>
        <v>0</v>
      </c>
      <c r="CF93" s="451" t="s">
        <v>685</v>
      </c>
      <c r="CG93" s="115">
        <f>1000000+1000000</f>
        <v>2000000</v>
      </c>
      <c r="CH93" s="115">
        <f>1000000+1000000</f>
        <v>2000000</v>
      </c>
      <c r="CI93" s="33"/>
      <c r="CJ93" s="33"/>
      <c r="CK93" s="115"/>
      <c r="CL93" s="7"/>
      <c r="CM93" s="115"/>
      <c r="CN93" s="7"/>
      <c r="CO93" s="115"/>
      <c r="CP93" s="115"/>
      <c r="CQ93" s="7"/>
      <c r="CR93" s="7"/>
      <c r="CS93" s="7"/>
      <c r="CT93" s="115"/>
      <c r="CU93" s="115"/>
      <c r="CV93" s="7"/>
      <c r="CW93" s="115"/>
      <c r="CX93" s="115"/>
      <c r="CY93" s="7"/>
      <c r="CZ93" s="115"/>
      <c r="DA93" s="115"/>
      <c r="DB93" s="7"/>
      <c r="DC93" s="115"/>
      <c r="DD93" s="7"/>
      <c r="DE93" s="115"/>
      <c r="DF93" s="7"/>
      <c r="DG93" s="115"/>
      <c r="DH93" s="7"/>
      <c r="DI93" s="115"/>
      <c r="DJ93" s="7"/>
      <c r="DK93" s="115"/>
      <c r="DL93" s="7"/>
      <c r="DM93" s="115"/>
      <c r="DN93" s="7"/>
      <c r="DO93" s="115"/>
      <c r="DP93" s="14"/>
      <c r="DQ93" s="14"/>
      <c r="DR93" s="7"/>
      <c r="DS93" s="7"/>
      <c r="DT93" s="7"/>
      <c r="DU93" s="15"/>
      <c r="DV93" s="15"/>
      <c r="DW93" s="291"/>
      <c r="DX93" s="291"/>
      <c r="DY93" s="33"/>
      <c r="DZ93" s="36"/>
      <c r="EA93" s="109"/>
    </row>
    <row r="94" spans="1:131" s="1" customFormat="1" x14ac:dyDescent="0.25">
      <c r="A94" s="10" t="s">
        <v>30</v>
      </c>
      <c r="B94" s="24" t="s">
        <v>81</v>
      </c>
      <c r="C94" s="8" t="s">
        <v>632</v>
      </c>
      <c r="D94" s="24"/>
      <c r="E94" s="26">
        <v>420005</v>
      </c>
      <c r="F94" s="354">
        <v>4</v>
      </c>
      <c r="G94" s="354">
        <v>28</v>
      </c>
      <c r="H94" s="354">
        <v>1501</v>
      </c>
      <c r="I94" s="9" t="s">
        <v>41</v>
      </c>
      <c r="J94" s="10" t="s">
        <v>72</v>
      </c>
      <c r="K94" s="3">
        <v>4</v>
      </c>
      <c r="L94" s="3">
        <v>28</v>
      </c>
      <c r="M94" s="45"/>
      <c r="N94" s="3" t="s">
        <v>186</v>
      </c>
      <c r="O94" s="3" t="s">
        <v>190</v>
      </c>
      <c r="P94" s="11" t="s">
        <v>187</v>
      </c>
      <c r="Q94" s="11" t="s">
        <v>187</v>
      </c>
      <c r="R94" s="3">
        <v>270</v>
      </c>
      <c r="S94" s="3" t="s">
        <v>188</v>
      </c>
      <c r="T94" s="12" t="s">
        <v>26</v>
      </c>
      <c r="U94" s="12" t="s">
        <v>222</v>
      </c>
      <c r="V94" s="12"/>
      <c r="W94" s="12" t="s">
        <v>5</v>
      </c>
      <c r="X94" s="8" t="s">
        <v>53</v>
      </c>
      <c r="Y94" s="13" t="s">
        <v>98</v>
      </c>
      <c r="Z94" s="25" t="s">
        <v>92</v>
      </c>
      <c r="AA94" s="10" t="s">
        <v>125</v>
      </c>
      <c r="AB94" s="12" t="s">
        <v>124</v>
      </c>
      <c r="AC94" s="115">
        <v>100000</v>
      </c>
      <c r="AD94" s="115"/>
      <c r="AE94" s="7">
        <f>AC94+AD94</f>
        <v>100000</v>
      </c>
      <c r="AF94" s="7"/>
      <c r="AG94" s="7">
        <f t="shared" si="24"/>
        <v>100000</v>
      </c>
      <c r="AH94" s="33"/>
      <c r="AI94" s="7">
        <f t="shared" si="25"/>
        <v>100000</v>
      </c>
      <c r="AJ94" s="62"/>
      <c r="AK94" s="27">
        <v>100000</v>
      </c>
      <c r="AL94" s="36"/>
      <c r="AM94" s="33">
        <f t="shared" si="28"/>
        <v>100000</v>
      </c>
      <c r="AN94" s="36">
        <v>0</v>
      </c>
      <c r="AO94" s="27">
        <v>0</v>
      </c>
      <c r="AP94" s="7">
        <f t="shared" si="132"/>
        <v>0</v>
      </c>
      <c r="AQ94" s="27"/>
      <c r="AR94" s="27"/>
      <c r="AS94" s="7">
        <f t="shared" si="133"/>
        <v>0</v>
      </c>
      <c r="AT94" s="27"/>
      <c r="AU94" s="27"/>
      <c r="AV94" s="7">
        <f t="shared" si="134"/>
        <v>0</v>
      </c>
      <c r="AW94" s="7"/>
      <c r="AX94" s="7"/>
      <c r="AY94" s="7">
        <f t="shared" si="107"/>
        <v>0</v>
      </c>
      <c r="AZ94" s="7"/>
      <c r="BA94" s="7"/>
      <c r="BB94" s="7">
        <f t="shared" si="135"/>
        <v>0</v>
      </c>
      <c r="BC94" s="7"/>
      <c r="BD94" s="7"/>
      <c r="BE94" s="7">
        <f t="shared" si="136"/>
        <v>0</v>
      </c>
      <c r="BF94" s="7"/>
      <c r="BG94" s="7"/>
      <c r="BH94" s="7">
        <f t="shared" si="137"/>
        <v>0</v>
      </c>
      <c r="BI94" s="7"/>
      <c r="BJ94" s="7"/>
      <c r="BK94" s="7">
        <f t="shared" si="138"/>
        <v>0</v>
      </c>
      <c r="BL94" s="7"/>
      <c r="BM94" s="7"/>
      <c r="BN94" s="7">
        <f t="shared" si="139"/>
        <v>0</v>
      </c>
      <c r="BO94" s="7"/>
      <c r="BP94" s="7"/>
      <c r="BQ94" s="7">
        <f t="shared" si="140"/>
        <v>0</v>
      </c>
      <c r="BR94" s="7"/>
      <c r="BS94" s="7"/>
      <c r="BT94" s="7">
        <f t="shared" si="141"/>
        <v>0</v>
      </c>
      <c r="BU94" s="7"/>
      <c r="BV94" s="7"/>
      <c r="BW94" s="7">
        <f t="shared" si="142"/>
        <v>0</v>
      </c>
      <c r="BX94" s="7"/>
      <c r="BY94" s="7">
        <f t="shared" si="109"/>
        <v>0</v>
      </c>
      <c r="BZ94" s="7">
        <f t="shared" si="110"/>
        <v>0</v>
      </c>
      <c r="CA94" s="7"/>
      <c r="CB94" s="7">
        <f t="shared" si="111"/>
        <v>100000</v>
      </c>
      <c r="CC94" s="7">
        <f t="shared" si="112"/>
        <v>100000</v>
      </c>
      <c r="CD94" s="15">
        <f t="shared" si="113"/>
        <v>0</v>
      </c>
      <c r="CE94" s="15">
        <f t="shared" si="114"/>
        <v>0</v>
      </c>
      <c r="CF94" s="451" t="s">
        <v>875</v>
      </c>
      <c r="CG94" s="115">
        <v>100000</v>
      </c>
      <c r="CH94" s="33">
        <v>0</v>
      </c>
      <c r="CI94" s="33"/>
      <c r="CJ94" s="33"/>
      <c r="CK94" s="115"/>
      <c r="CL94" s="7">
        <f t="shared" si="115"/>
        <v>0</v>
      </c>
      <c r="CM94" s="115"/>
      <c r="CN94" s="7">
        <f>CM94</f>
        <v>0</v>
      </c>
      <c r="CO94" s="115"/>
      <c r="CP94" s="115">
        <v>0</v>
      </c>
      <c r="CQ94" s="7">
        <f t="shared" si="116"/>
        <v>0</v>
      </c>
      <c r="CR94" s="7">
        <f t="shared" si="117"/>
        <v>0</v>
      </c>
      <c r="CS94" s="7">
        <f t="shared" si="118"/>
        <v>0</v>
      </c>
      <c r="CT94" s="115"/>
      <c r="CU94" s="115"/>
      <c r="CV94" s="7">
        <f t="shared" si="119"/>
        <v>0</v>
      </c>
      <c r="CW94" s="115"/>
      <c r="CX94" s="115"/>
      <c r="CY94" s="7">
        <f t="shared" si="120"/>
        <v>0</v>
      </c>
      <c r="CZ94" s="115">
        <v>19673.599999999999</v>
      </c>
      <c r="DA94" s="115">
        <v>2754.3</v>
      </c>
      <c r="DB94" s="7">
        <f t="shared" si="121"/>
        <v>22427.899999999998</v>
      </c>
      <c r="DC94" s="115"/>
      <c r="DD94" s="7">
        <f t="shared" si="122"/>
        <v>0</v>
      </c>
      <c r="DE94" s="115"/>
      <c r="DF94" s="7">
        <f t="shared" si="123"/>
        <v>0</v>
      </c>
      <c r="DG94" s="115"/>
      <c r="DH94" s="7">
        <f t="shared" si="124"/>
        <v>0</v>
      </c>
      <c r="DI94" s="115"/>
      <c r="DJ94" s="7">
        <f t="shared" si="125"/>
        <v>0</v>
      </c>
      <c r="DK94" s="115"/>
      <c r="DL94" s="7">
        <f t="shared" si="126"/>
        <v>0</v>
      </c>
      <c r="DM94" s="115"/>
      <c r="DN94" s="7">
        <f t="shared" si="127"/>
        <v>0</v>
      </c>
      <c r="DO94" s="115">
        <v>65646.91</v>
      </c>
      <c r="DP94" s="14">
        <f t="shared" si="128"/>
        <v>19673.599999999999</v>
      </c>
      <c r="DQ94" s="14">
        <f t="shared" si="129"/>
        <v>22427.899999999998</v>
      </c>
      <c r="DR94" s="7"/>
      <c r="DS94" s="7">
        <f t="shared" si="130"/>
        <v>80326.399999999994</v>
      </c>
      <c r="DT94" s="7">
        <f t="shared" si="131"/>
        <v>77572.100000000006</v>
      </c>
      <c r="DU94" s="15">
        <f>DP94/AG94</f>
        <v>0.19673599999999999</v>
      </c>
      <c r="DV94" s="15">
        <f>DQ94/AG94</f>
        <v>0.22427899999999998</v>
      </c>
      <c r="DW94" s="15"/>
      <c r="DX94" s="15"/>
      <c r="DY94" s="7"/>
      <c r="DZ94" s="115"/>
      <c r="EA94" s="109"/>
    </row>
    <row r="95" spans="1:131" s="1" customFormat="1" x14ac:dyDescent="0.25">
      <c r="A95" s="10" t="s">
        <v>30</v>
      </c>
      <c r="B95" s="24" t="s">
        <v>80</v>
      </c>
      <c r="C95" s="8" t="s">
        <v>632</v>
      </c>
      <c r="D95" s="24"/>
      <c r="E95" s="26">
        <v>420005</v>
      </c>
      <c r="F95" s="353">
        <v>4</v>
      </c>
      <c r="G95" s="359" t="s">
        <v>187</v>
      </c>
      <c r="H95" s="354">
        <v>1518</v>
      </c>
      <c r="I95" s="9" t="s">
        <v>41</v>
      </c>
      <c r="J95" s="10" t="s">
        <v>72</v>
      </c>
      <c r="K95" s="3">
        <v>4</v>
      </c>
      <c r="L95" s="11" t="s">
        <v>187</v>
      </c>
      <c r="M95" s="45"/>
      <c r="N95" s="11" t="s">
        <v>186</v>
      </c>
      <c r="O95" s="3" t="s">
        <v>190</v>
      </c>
      <c r="P95" s="11" t="s">
        <v>187</v>
      </c>
      <c r="Q95" s="11" t="s">
        <v>187</v>
      </c>
      <c r="R95" s="3">
        <v>270</v>
      </c>
      <c r="S95" s="3" t="s">
        <v>188</v>
      </c>
      <c r="T95" s="12" t="s">
        <v>26</v>
      </c>
      <c r="U95" s="12" t="s">
        <v>222</v>
      </c>
      <c r="V95" s="12"/>
      <c r="W95" s="12" t="s">
        <v>5</v>
      </c>
      <c r="X95" s="8" t="s">
        <v>53</v>
      </c>
      <c r="Y95" s="13" t="s">
        <v>98</v>
      </c>
      <c r="Z95" s="25" t="s">
        <v>92</v>
      </c>
      <c r="AA95" s="10" t="s">
        <v>202</v>
      </c>
      <c r="AB95" s="12" t="s">
        <v>8</v>
      </c>
      <c r="AC95" s="115">
        <f>1500000-1500000</f>
        <v>0</v>
      </c>
      <c r="AD95" s="115"/>
      <c r="AE95" s="7">
        <f>AC95+AD95</f>
        <v>0</v>
      </c>
      <c r="AF95" s="7"/>
      <c r="AG95" s="7">
        <f t="shared" si="24"/>
        <v>0</v>
      </c>
      <c r="AH95" s="33"/>
      <c r="AI95" s="7">
        <f t="shared" si="25"/>
        <v>0</v>
      </c>
      <c r="AJ95" s="62"/>
      <c r="AK95" s="27">
        <v>2000000</v>
      </c>
      <c r="AL95" s="36"/>
      <c r="AM95" s="33">
        <f t="shared" si="28"/>
        <v>2000000</v>
      </c>
      <c r="AN95" s="36">
        <v>0</v>
      </c>
      <c r="AO95" s="27">
        <v>0</v>
      </c>
      <c r="AP95" s="7">
        <f t="shared" si="132"/>
        <v>0</v>
      </c>
      <c r="AQ95" s="27"/>
      <c r="AR95" s="27"/>
      <c r="AS95" s="7">
        <f t="shared" si="133"/>
        <v>0</v>
      </c>
      <c r="AT95" s="27"/>
      <c r="AU95" s="27"/>
      <c r="AV95" s="7">
        <f t="shared" si="134"/>
        <v>0</v>
      </c>
      <c r="AW95" s="7"/>
      <c r="AX95" s="7"/>
      <c r="AY95" s="7">
        <f t="shared" si="107"/>
        <v>0</v>
      </c>
      <c r="AZ95" s="7"/>
      <c r="BA95" s="7"/>
      <c r="BB95" s="7">
        <f t="shared" si="135"/>
        <v>0</v>
      </c>
      <c r="BC95" s="7"/>
      <c r="BD95" s="7"/>
      <c r="BE95" s="7">
        <f t="shared" si="136"/>
        <v>0</v>
      </c>
      <c r="BF95" s="7"/>
      <c r="BG95" s="7"/>
      <c r="BH95" s="7">
        <f t="shared" si="137"/>
        <v>0</v>
      </c>
      <c r="BI95" s="7"/>
      <c r="BJ95" s="7"/>
      <c r="BK95" s="7">
        <f t="shared" si="138"/>
        <v>0</v>
      </c>
      <c r="BL95" s="7"/>
      <c r="BM95" s="7"/>
      <c r="BN95" s="7">
        <f t="shared" si="139"/>
        <v>0</v>
      </c>
      <c r="BO95" s="7"/>
      <c r="BP95" s="7"/>
      <c r="BQ95" s="7">
        <f t="shared" si="140"/>
        <v>0</v>
      </c>
      <c r="BR95" s="7"/>
      <c r="BS95" s="7"/>
      <c r="BT95" s="7">
        <f t="shared" si="141"/>
        <v>0</v>
      </c>
      <c r="BU95" s="7"/>
      <c r="BV95" s="7"/>
      <c r="BW95" s="7">
        <f t="shared" si="142"/>
        <v>0</v>
      </c>
      <c r="BX95" s="7"/>
      <c r="BY95" s="7">
        <f t="shared" si="109"/>
        <v>0</v>
      </c>
      <c r="BZ95" s="7">
        <f t="shared" si="110"/>
        <v>0</v>
      </c>
      <c r="CA95" s="7"/>
      <c r="CB95" s="7">
        <f t="shared" si="111"/>
        <v>2000000</v>
      </c>
      <c r="CC95" s="7">
        <f t="shared" si="112"/>
        <v>2000000</v>
      </c>
      <c r="CD95" s="15">
        <f t="shared" si="113"/>
        <v>0</v>
      </c>
      <c r="CE95" s="15">
        <f t="shared" si="114"/>
        <v>0</v>
      </c>
      <c r="CF95" s="451" t="s">
        <v>685</v>
      </c>
      <c r="CG95" s="115">
        <v>1500000</v>
      </c>
      <c r="CH95" s="33">
        <v>1000000</v>
      </c>
      <c r="CI95" s="33"/>
      <c r="CJ95" s="33"/>
      <c r="CK95" s="115"/>
      <c r="CL95" s="7">
        <f t="shared" si="115"/>
        <v>0</v>
      </c>
      <c r="CM95" s="115"/>
      <c r="CN95" s="7">
        <f>CM95</f>
        <v>0</v>
      </c>
      <c r="CO95" s="115"/>
      <c r="CP95" s="115"/>
      <c r="CQ95" s="7">
        <f t="shared" si="116"/>
        <v>0</v>
      </c>
      <c r="CR95" s="7">
        <f t="shared" si="117"/>
        <v>0</v>
      </c>
      <c r="CS95" s="7">
        <f t="shared" si="118"/>
        <v>0</v>
      </c>
      <c r="CT95" s="115"/>
      <c r="CU95" s="115"/>
      <c r="CV95" s="7">
        <f t="shared" si="119"/>
        <v>0</v>
      </c>
      <c r="CW95" s="115"/>
      <c r="CX95" s="115"/>
      <c r="CY95" s="7">
        <f t="shared" si="120"/>
        <v>0</v>
      </c>
      <c r="CZ95" s="115"/>
      <c r="DA95" s="115"/>
      <c r="DB95" s="7">
        <f t="shared" si="121"/>
        <v>0</v>
      </c>
      <c r="DC95" s="115"/>
      <c r="DD95" s="7">
        <f t="shared" si="122"/>
        <v>0</v>
      </c>
      <c r="DE95" s="115"/>
      <c r="DF95" s="7">
        <f t="shared" si="123"/>
        <v>0</v>
      </c>
      <c r="DG95" s="115"/>
      <c r="DH95" s="7">
        <f t="shared" si="124"/>
        <v>0</v>
      </c>
      <c r="DI95" s="115"/>
      <c r="DJ95" s="7">
        <f t="shared" si="125"/>
        <v>0</v>
      </c>
      <c r="DK95" s="115"/>
      <c r="DL95" s="7">
        <f t="shared" si="126"/>
        <v>0</v>
      </c>
      <c r="DM95" s="115"/>
      <c r="DN95" s="7">
        <f t="shared" si="127"/>
        <v>0</v>
      </c>
      <c r="DO95" s="115"/>
      <c r="DP95" s="14">
        <f t="shared" si="128"/>
        <v>0</v>
      </c>
      <c r="DQ95" s="14">
        <f t="shared" si="129"/>
        <v>0</v>
      </c>
      <c r="DR95" s="7"/>
      <c r="DS95" s="7">
        <f t="shared" si="130"/>
        <v>0</v>
      </c>
      <c r="DT95" s="7">
        <f t="shared" si="131"/>
        <v>0</v>
      </c>
      <c r="DU95" s="15" t="e">
        <f>DP95/AG95</f>
        <v>#DIV/0!</v>
      </c>
      <c r="DV95" s="15" t="e">
        <f>DQ95/AG95</f>
        <v>#DIV/0!</v>
      </c>
      <c r="DW95" s="15"/>
      <c r="DX95" s="15"/>
      <c r="DY95" s="7"/>
      <c r="DZ95" s="115"/>
      <c r="EA95" s="109"/>
    </row>
    <row r="96" spans="1:131" s="1" customFormat="1" x14ac:dyDescent="0.25">
      <c r="A96" s="10" t="s">
        <v>30</v>
      </c>
      <c r="B96" s="24" t="s">
        <v>80</v>
      </c>
      <c r="C96" s="8" t="s">
        <v>626</v>
      </c>
      <c r="D96" s="24"/>
      <c r="E96" s="26">
        <v>420005</v>
      </c>
      <c r="F96" s="353">
        <v>5</v>
      </c>
      <c r="G96" s="359" t="s">
        <v>186</v>
      </c>
      <c r="H96" s="354">
        <v>1507</v>
      </c>
      <c r="I96" s="9" t="s">
        <v>246</v>
      </c>
      <c r="J96" s="10" t="s">
        <v>72</v>
      </c>
      <c r="K96" s="3">
        <v>4</v>
      </c>
      <c r="L96" s="11" t="s">
        <v>187</v>
      </c>
      <c r="M96" s="45"/>
      <c r="N96" s="11" t="s">
        <v>186</v>
      </c>
      <c r="O96" s="11" t="s">
        <v>582</v>
      </c>
      <c r="P96" s="11" t="s">
        <v>187</v>
      </c>
      <c r="Q96" s="11" t="s">
        <v>187</v>
      </c>
      <c r="R96" s="3">
        <v>270</v>
      </c>
      <c r="S96" s="11" t="s">
        <v>188</v>
      </c>
      <c r="T96" s="12" t="s">
        <v>26</v>
      </c>
      <c r="U96" s="12" t="s">
        <v>222</v>
      </c>
      <c r="V96" s="12"/>
      <c r="W96" s="12" t="s">
        <v>5</v>
      </c>
      <c r="X96" s="8"/>
      <c r="Y96" s="13" t="s">
        <v>100</v>
      </c>
      <c r="Z96" s="25" t="s">
        <v>92</v>
      </c>
      <c r="AA96" s="10" t="s">
        <v>436</v>
      </c>
      <c r="AB96" s="12" t="s">
        <v>8</v>
      </c>
      <c r="AC96" s="115"/>
      <c r="AD96" s="115"/>
      <c r="AE96" s="7"/>
      <c r="AF96" s="7"/>
      <c r="AG96" s="7"/>
      <c r="AH96" s="33"/>
      <c r="AI96" s="7"/>
      <c r="AJ96" s="62"/>
      <c r="AK96" s="27"/>
      <c r="AL96" s="27">
        <v>8500</v>
      </c>
      <c r="AM96" s="33">
        <f t="shared" si="28"/>
        <v>8500</v>
      </c>
      <c r="AN96" s="36"/>
      <c r="AO96" s="27"/>
      <c r="AP96" s="7"/>
      <c r="AQ96" s="27"/>
      <c r="AR96" s="27"/>
      <c r="AS96" s="7">
        <f t="shared" si="133"/>
        <v>0</v>
      </c>
      <c r="AT96" s="27"/>
      <c r="AU96" s="27"/>
      <c r="AV96" s="7">
        <f t="shared" si="134"/>
        <v>0</v>
      </c>
      <c r="AW96" s="7"/>
      <c r="AX96" s="7"/>
      <c r="AY96" s="7">
        <f t="shared" si="107"/>
        <v>0</v>
      </c>
      <c r="AZ96" s="7"/>
      <c r="BA96" s="7"/>
      <c r="BB96" s="7"/>
      <c r="BC96" s="7"/>
      <c r="BD96" s="7"/>
      <c r="BE96" s="7"/>
      <c r="BF96" s="7"/>
      <c r="BG96" s="7"/>
      <c r="BH96" s="7"/>
      <c r="BI96" s="7"/>
      <c r="BJ96" s="7"/>
      <c r="BK96" s="7"/>
      <c r="BL96" s="7"/>
      <c r="BM96" s="7"/>
      <c r="BN96" s="7"/>
      <c r="BO96" s="7"/>
      <c r="BP96" s="7"/>
      <c r="BQ96" s="7"/>
      <c r="BR96" s="7"/>
      <c r="BS96" s="7"/>
      <c r="BT96" s="7"/>
      <c r="BU96" s="7"/>
      <c r="BV96" s="7"/>
      <c r="BW96" s="7"/>
      <c r="BX96" s="7">
        <v>5916.19</v>
      </c>
      <c r="BY96" s="7">
        <f t="shared" si="109"/>
        <v>0</v>
      </c>
      <c r="BZ96" s="7">
        <f t="shared" si="110"/>
        <v>0</v>
      </c>
      <c r="CA96" s="7"/>
      <c r="CB96" s="7">
        <f t="shared" si="111"/>
        <v>8500</v>
      </c>
      <c r="CC96" s="7">
        <f t="shared" si="112"/>
        <v>8500</v>
      </c>
      <c r="CD96" s="15">
        <f t="shared" si="113"/>
        <v>0</v>
      </c>
      <c r="CE96" s="15">
        <f t="shared" si="114"/>
        <v>0</v>
      </c>
      <c r="CF96" s="451" t="s">
        <v>685</v>
      </c>
      <c r="CG96" s="115"/>
      <c r="CH96" s="33"/>
      <c r="CI96" s="33"/>
      <c r="CJ96" s="33"/>
      <c r="CK96" s="115"/>
      <c r="CL96" s="7"/>
      <c r="CM96" s="115"/>
      <c r="CN96" s="7"/>
      <c r="CO96" s="115"/>
      <c r="CP96" s="115"/>
      <c r="CQ96" s="7"/>
      <c r="CR96" s="7"/>
      <c r="CS96" s="7"/>
      <c r="CT96" s="115"/>
      <c r="CU96" s="115"/>
      <c r="CV96" s="7"/>
      <c r="CW96" s="115"/>
      <c r="CX96" s="115"/>
      <c r="CY96" s="7"/>
      <c r="CZ96" s="115"/>
      <c r="DA96" s="115"/>
      <c r="DB96" s="7"/>
      <c r="DC96" s="115"/>
      <c r="DD96" s="7"/>
      <c r="DE96" s="115"/>
      <c r="DF96" s="7"/>
      <c r="DG96" s="115"/>
      <c r="DH96" s="7"/>
      <c r="DI96" s="115"/>
      <c r="DJ96" s="7"/>
      <c r="DK96" s="115"/>
      <c r="DL96" s="7"/>
      <c r="DM96" s="115"/>
      <c r="DN96" s="7"/>
      <c r="DO96" s="115"/>
      <c r="DP96" s="14"/>
      <c r="DQ96" s="14"/>
      <c r="DR96" s="7"/>
      <c r="DS96" s="7"/>
      <c r="DT96" s="7"/>
      <c r="DU96" s="15"/>
      <c r="DV96" s="15"/>
      <c r="DW96" s="15"/>
      <c r="DX96" s="15"/>
      <c r="DY96" s="7"/>
      <c r="DZ96" s="115"/>
      <c r="EA96" s="109"/>
    </row>
    <row r="97" spans="1:131" s="1" customFormat="1" x14ac:dyDescent="0.25">
      <c r="A97" s="10" t="s">
        <v>30</v>
      </c>
      <c r="B97" s="24" t="s">
        <v>80</v>
      </c>
      <c r="C97" s="8" t="s">
        <v>626</v>
      </c>
      <c r="D97" s="24"/>
      <c r="E97" s="26">
        <v>420005</v>
      </c>
      <c r="F97" s="353">
        <v>5</v>
      </c>
      <c r="G97" s="359" t="s">
        <v>186</v>
      </c>
      <c r="H97" s="354">
        <v>1520</v>
      </c>
      <c r="I97" s="9" t="s">
        <v>246</v>
      </c>
      <c r="J97" s="10" t="s">
        <v>72</v>
      </c>
      <c r="K97" s="3"/>
      <c r="L97" s="11"/>
      <c r="M97" s="45"/>
      <c r="N97" s="11" t="s">
        <v>186</v>
      </c>
      <c r="O97" s="11" t="s">
        <v>582</v>
      </c>
      <c r="P97" s="11" t="s">
        <v>187</v>
      </c>
      <c r="Q97" s="11" t="s">
        <v>187</v>
      </c>
      <c r="R97" s="3">
        <v>270</v>
      </c>
      <c r="S97" s="11" t="s">
        <v>188</v>
      </c>
      <c r="T97" s="12" t="s">
        <v>26</v>
      </c>
      <c r="U97" s="12" t="s">
        <v>222</v>
      </c>
      <c r="V97" s="12"/>
      <c r="W97" s="12" t="s">
        <v>5</v>
      </c>
      <c r="X97" s="8"/>
      <c r="Y97" s="13" t="s">
        <v>100</v>
      </c>
      <c r="Z97" s="25" t="s">
        <v>92</v>
      </c>
      <c r="AA97" s="10" t="s">
        <v>781</v>
      </c>
      <c r="AB97" s="12" t="s">
        <v>8</v>
      </c>
      <c r="AC97" s="115"/>
      <c r="AD97" s="115"/>
      <c r="AE97" s="7"/>
      <c r="AF97" s="7"/>
      <c r="AG97" s="7"/>
      <c r="AH97" s="33"/>
      <c r="AI97" s="7"/>
      <c r="AJ97" s="62"/>
      <c r="AK97" s="27"/>
      <c r="AL97" s="36"/>
      <c r="AM97" s="33">
        <v>13000</v>
      </c>
      <c r="AN97" s="36"/>
      <c r="AO97" s="27"/>
      <c r="AP97" s="7"/>
      <c r="AQ97" s="27"/>
      <c r="AR97" s="27"/>
      <c r="AS97" s="7"/>
      <c r="AT97" s="27"/>
      <c r="AU97" s="27"/>
      <c r="AV97" s="7">
        <f t="shared" si="134"/>
        <v>0</v>
      </c>
      <c r="AW97" s="7"/>
      <c r="AX97" s="7"/>
      <c r="AY97" s="7">
        <f t="shared" si="107"/>
        <v>0</v>
      </c>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f t="shared" si="109"/>
        <v>0</v>
      </c>
      <c r="BZ97" s="7">
        <f t="shared" si="110"/>
        <v>0</v>
      </c>
      <c r="CA97" s="7"/>
      <c r="CB97" s="7">
        <f t="shared" si="111"/>
        <v>13000</v>
      </c>
      <c r="CC97" s="7">
        <f t="shared" si="112"/>
        <v>13000</v>
      </c>
      <c r="CD97" s="15">
        <f t="shared" si="113"/>
        <v>0</v>
      </c>
      <c r="CE97" s="15">
        <f t="shared" si="114"/>
        <v>0</v>
      </c>
      <c r="CF97" s="451" t="s">
        <v>685</v>
      </c>
      <c r="CG97" s="115"/>
      <c r="CH97" s="33"/>
      <c r="CI97" s="33"/>
      <c r="CJ97" s="33"/>
      <c r="CK97" s="115"/>
      <c r="CL97" s="7"/>
      <c r="CM97" s="115"/>
      <c r="CN97" s="7"/>
      <c r="CO97" s="115"/>
      <c r="CP97" s="115"/>
      <c r="CQ97" s="7"/>
      <c r="CR97" s="7"/>
      <c r="CS97" s="7"/>
      <c r="CT97" s="115"/>
      <c r="CU97" s="115"/>
      <c r="CV97" s="7"/>
      <c r="CW97" s="115"/>
      <c r="CX97" s="115"/>
      <c r="CY97" s="7"/>
      <c r="CZ97" s="115"/>
      <c r="DA97" s="115"/>
      <c r="DB97" s="7"/>
      <c r="DC97" s="115"/>
      <c r="DD97" s="7"/>
      <c r="DE97" s="115"/>
      <c r="DF97" s="7"/>
      <c r="DG97" s="115"/>
      <c r="DH97" s="7"/>
      <c r="DI97" s="115"/>
      <c r="DJ97" s="7"/>
      <c r="DK97" s="115"/>
      <c r="DL97" s="7"/>
      <c r="DM97" s="115"/>
      <c r="DN97" s="7"/>
      <c r="DO97" s="115"/>
      <c r="DP97" s="14"/>
      <c r="DQ97" s="14"/>
      <c r="DR97" s="7"/>
      <c r="DS97" s="7"/>
      <c r="DT97" s="7"/>
      <c r="DU97" s="15"/>
      <c r="DV97" s="15"/>
      <c r="DW97" s="15"/>
      <c r="DX97" s="15"/>
      <c r="DY97" s="7"/>
      <c r="DZ97" s="115"/>
      <c r="EA97" s="109"/>
    </row>
    <row r="98" spans="1:131" s="1" customFormat="1" x14ac:dyDescent="0.25">
      <c r="A98" s="10" t="s">
        <v>30</v>
      </c>
      <c r="B98" s="24" t="s">
        <v>258</v>
      </c>
      <c r="C98" s="8" t="s">
        <v>647</v>
      </c>
      <c r="D98" s="24"/>
      <c r="E98" s="26">
        <v>420010</v>
      </c>
      <c r="F98" s="353">
        <v>4</v>
      </c>
      <c r="G98" s="359" t="s">
        <v>187</v>
      </c>
      <c r="H98" s="354">
        <v>1519</v>
      </c>
      <c r="I98" s="9" t="s">
        <v>41</v>
      </c>
      <c r="J98" s="10" t="s">
        <v>72</v>
      </c>
      <c r="K98" s="3">
        <v>4</v>
      </c>
      <c r="L98" s="11" t="s">
        <v>187</v>
      </c>
      <c r="M98" s="45"/>
      <c r="N98" s="11" t="s">
        <v>186</v>
      </c>
      <c r="O98" s="3" t="s">
        <v>190</v>
      </c>
      <c r="P98" s="11" t="s">
        <v>187</v>
      </c>
      <c r="Q98" s="11" t="s">
        <v>187</v>
      </c>
      <c r="R98" s="3">
        <v>312</v>
      </c>
      <c r="S98" s="3" t="s">
        <v>188</v>
      </c>
      <c r="T98" s="12" t="s">
        <v>78</v>
      </c>
      <c r="U98" s="12"/>
      <c r="V98" s="12" t="s">
        <v>222</v>
      </c>
      <c r="W98" s="12" t="s">
        <v>5</v>
      </c>
      <c r="X98" s="8" t="s">
        <v>57</v>
      </c>
      <c r="Y98" s="13" t="s">
        <v>98</v>
      </c>
      <c r="Z98" s="25" t="s">
        <v>92</v>
      </c>
      <c r="AA98" s="10" t="s">
        <v>126</v>
      </c>
      <c r="AB98" s="12" t="s">
        <v>8</v>
      </c>
      <c r="AC98" s="115">
        <f>500000-500000</f>
        <v>0</v>
      </c>
      <c r="AD98" s="115"/>
      <c r="AE98" s="7">
        <f>AC98+AD98</f>
        <v>0</v>
      </c>
      <c r="AF98" s="7"/>
      <c r="AG98" s="7">
        <f t="shared" si="24"/>
        <v>0</v>
      </c>
      <c r="AH98" s="33"/>
      <c r="AI98" s="7">
        <f t="shared" si="25"/>
        <v>0</v>
      </c>
      <c r="AJ98" s="62"/>
      <c r="AK98" s="27">
        <v>2500000</v>
      </c>
      <c r="AL98" s="36"/>
      <c r="AM98" s="33">
        <f t="shared" si="28"/>
        <v>2500000</v>
      </c>
      <c r="AN98" s="36">
        <v>0</v>
      </c>
      <c r="AO98" s="27">
        <v>0</v>
      </c>
      <c r="AP98" s="7">
        <f t="shared" si="132"/>
        <v>0</v>
      </c>
      <c r="AQ98" s="27"/>
      <c r="AR98" s="27"/>
      <c r="AS98" s="7">
        <f t="shared" si="133"/>
        <v>0</v>
      </c>
      <c r="AT98" s="27">
        <v>2761.12</v>
      </c>
      <c r="AU98" s="27"/>
      <c r="AV98" s="7">
        <f t="shared" si="134"/>
        <v>2761.12</v>
      </c>
      <c r="AW98" s="7"/>
      <c r="AX98" s="7"/>
      <c r="AY98" s="7">
        <f t="shared" si="107"/>
        <v>0</v>
      </c>
      <c r="AZ98" s="7"/>
      <c r="BA98" s="7"/>
      <c r="BB98" s="7">
        <f t="shared" si="135"/>
        <v>0</v>
      </c>
      <c r="BC98" s="7"/>
      <c r="BD98" s="7"/>
      <c r="BE98" s="7">
        <f t="shared" si="136"/>
        <v>0</v>
      </c>
      <c r="BF98" s="7"/>
      <c r="BG98" s="7"/>
      <c r="BH98" s="7">
        <f t="shared" si="137"/>
        <v>0</v>
      </c>
      <c r="BI98" s="7"/>
      <c r="BJ98" s="7"/>
      <c r="BK98" s="7">
        <f t="shared" si="138"/>
        <v>0</v>
      </c>
      <c r="BL98" s="7"/>
      <c r="BM98" s="7"/>
      <c r="BN98" s="7">
        <f t="shared" si="139"/>
        <v>0</v>
      </c>
      <c r="BO98" s="7"/>
      <c r="BP98" s="7"/>
      <c r="BQ98" s="7">
        <f t="shared" si="140"/>
        <v>0</v>
      </c>
      <c r="BR98" s="7"/>
      <c r="BS98" s="7"/>
      <c r="BT98" s="7">
        <f t="shared" si="141"/>
        <v>0</v>
      </c>
      <c r="BU98" s="7"/>
      <c r="BV98" s="7"/>
      <c r="BW98" s="7">
        <f t="shared" si="142"/>
        <v>0</v>
      </c>
      <c r="BX98" s="7"/>
      <c r="BY98" s="7">
        <f t="shared" si="109"/>
        <v>2761.12</v>
      </c>
      <c r="BZ98" s="7">
        <f t="shared" si="110"/>
        <v>2761.12</v>
      </c>
      <c r="CA98" s="7"/>
      <c r="CB98" s="7">
        <f t="shared" si="111"/>
        <v>2497238.88</v>
      </c>
      <c r="CC98" s="7">
        <f t="shared" si="112"/>
        <v>2497238.88</v>
      </c>
      <c r="CD98" s="15">
        <f t="shared" si="113"/>
        <v>1.1044480000000001E-3</v>
      </c>
      <c r="CE98" s="15">
        <f t="shared" si="114"/>
        <v>1.1044480000000001E-3</v>
      </c>
      <c r="CF98" s="451" t="s">
        <v>685</v>
      </c>
      <c r="CG98" s="115">
        <v>0</v>
      </c>
      <c r="CH98" s="33">
        <v>0</v>
      </c>
      <c r="CI98" s="33"/>
      <c r="CJ98" s="33"/>
      <c r="CK98" s="115"/>
      <c r="CL98" s="7">
        <f t="shared" si="115"/>
        <v>0</v>
      </c>
      <c r="CM98" s="115"/>
      <c r="CN98" s="7">
        <f>CM98</f>
        <v>0</v>
      </c>
      <c r="CO98" s="115"/>
      <c r="CP98" s="115"/>
      <c r="CQ98" s="7">
        <f t="shared" si="116"/>
        <v>0</v>
      </c>
      <c r="CR98" s="7">
        <f t="shared" si="117"/>
        <v>0</v>
      </c>
      <c r="CS98" s="7">
        <f t="shared" si="118"/>
        <v>0</v>
      </c>
      <c r="CT98" s="115"/>
      <c r="CU98" s="115"/>
      <c r="CV98" s="7">
        <f t="shared" si="119"/>
        <v>0</v>
      </c>
      <c r="CW98" s="115"/>
      <c r="CX98" s="115"/>
      <c r="CY98" s="7">
        <f t="shared" si="120"/>
        <v>0</v>
      </c>
      <c r="CZ98" s="115"/>
      <c r="DA98" s="115"/>
      <c r="DB98" s="7">
        <f t="shared" si="121"/>
        <v>0</v>
      </c>
      <c r="DC98" s="115"/>
      <c r="DD98" s="7">
        <f t="shared" si="122"/>
        <v>0</v>
      </c>
      <c r="DE98" s="115"/>
      <c r="DF98" s="7">
        <f t="shared" si="123"/>
        <v>0</v>
      </c>
      <c r="DG98" s="115"/>
      <c r="DH98" s="7">
        <f t="shared" si="124"/>
        <v>0</v>
      </c>
      <c r="DI98" s="115"/>
      <c r="DJ98" s="7">
        <f t="shared" si="125"/>
        <v>0</v>
      </c>
      <c r="DK98" s="115"/>
      <c r="DL98" s="7">
        <f t="shared" si="126"/>
        <v>0</v>
      </c>
      <c r="DM98" s="115"/>
      <c r="DN98" s="7">
        <f t="shared" si="127"/>
        <v>0</v>
      </c>
      <c r="DO98" s="115"/>
      <c r="DP98" s="14">
        <f t="shared" si="128"/>
        <v>0</v>
      </c>
      <c r="DQ98" s="14">
        <f t="shared" si="129"/>
        <v>0</v>
      </c>
      <c r="DR98" s="7"/>
      <c r="DS98" s="7">
        <f t="shared" si="130"/>
        <v>0</v>
      </c>
      <c r="DT98" s="7">
        <f t="shared" si="131"/>
        <v>0</v>
      </c>
      <c r="DU98" s="15" t="e">
        <f>DP98/AG98</f>
        <v>#DIV/0!</v>
      </c>
      <c r="DV98" s="15" t="e">
        <f>DQ98/AG98</f>
        <v>#DIV/0!</v>
      </c>
      <c r="DW98" s="15"/>
      <c r="DX98" s="15"/>
      <c r="DY98" s="7"/>
      <c r="DZ98" s="119"/>
      <c r="EA98" s="109"/>
    </row>
    <row r="99" spans="1:131" s="1" customFormat="1" x14ac:dyDescent="0.25">
      <c r="A99" s="10" t="s">
        <v>30</v>
      </c>
      <c r="B99" s="24"/>
      <c r="C99" s="8" t="s">
        <v>228</v>
      </c>
      <c r="D99" s="24"/>
      <c r="E99" s="3">
        <v>415025</v>
      </c>
      <c r="F99" s="353">
        <v>4</v>
      </c>
      <c r="G99" s="359" t="s">
        <v>187</v>
      </c>
      <c r="H99" s="353">
        <v>1516</v>
      </c>
      <c r="I99" s="9" t="s">
        <v>41</v>
      </c>
      <c r="J99" s="10" t="s">
        <v>72</v>
      </c>
      <c r="K99" s="3">
        <v>4</v>
      </c>
      <c r="L99" s="11" t="s">
        <v>187</v>
      </c>
      <c r="M99" s="45"/>
      <c r="N99" s="11" t="s">
        <v>186</v>
      </c>
      <c r="O99" s="3" t="s">
        <v>190</v>
      </c>
      <c r="P99" s="11" t="s">
        <v>187</v>
      </c>
      <c r="Q99" s="11" t="s">
        <v>187</v>
      </c>
      <c r="R99" s="3">
        <v>270</v>
      </c>
      <c r="S99" s="3" t="s">
        <v>188</v>
      </c>
      <c r="T99" s="12" t="s">
        <v>26</v>
      </c>
      <c r="U99" s="12" t="s">
        <v>222</v>
      </c>
      <c r="V99" s="12"/>
      <c r="W99" s="12" t="s">
        <v>5</v>
      </c>
      <c r="X99" s="12" t="s">
        <v>57</v>
      </c>
      <c r="Y99" s="13" t="s">
        <v>98</v>
      </c>
      <c r="Z99" s="25" t="s">
        <v>92</v>
      </c>
      <c r="AA99" s="10" t="s">
        <v>492</v>
      </c>
      <c r="AB99" s="12" t="s">
        <v>8</v>
      </c>
      <c r="AC99" s="27"/>
      <c r="AD99" s="36"/>
      <c r="AE99" s="7"/>
      <c r="AF99" s="33"/>
      <c r="AG99" s="7">
        <f t="shared" si="24"/>
        <v>0</v>
      </c>
      <c r="AH99" s="33"/>
      <c r="AI99" s="7">
        <f t="shared" si="25"/>
        <v>0</v>
      </c>
      <c r="AJ99" s="409"/>
      <c r="AK99" s="27">
        <v>800000</v>
      </c>
      <c r="AL99" s="36"/>
      <c r="AM99" s="33">
        <f t="shared" si="28"/>
        <v>800000</v>
      </c>
      <c r="AN99" s="36">
        <v>0</v>
      </c>
      <c r="AO99" s="36">
        <v>0</v>
      </c>
      <c r="AP99" s="7">
        <f t="shared" si="132"/>
        <v>0</v>
      </c>
      <c r="AQ99" s="36"/>
      <c r="AR99" s="36"/>
      <c r="AS99" s="7">
        <f t="shared" si="133"/>
        <v>0</v>
      </c>
      <c r="AT99" s="36"/>
      <c r="AU99" s="36"/>
      <c r="AV99" s="7">
        <f t="shared" si="134"/>
        <v>0</v>
      </c>
      <c r="AW99" s="7"/>
      <c r="AX99" s="7"/>
      <c r="AY99" s="7">
        <f t="shared" si="107"/>
        <v>0</v>
      </c>
      <c r="AZ99" s="7"/>
      <c r="BA99" s="7"/>
      <c r="BB99" s="7">
        <f t="shared" si="135"/>
        <v>0</v>
      </c>
      <c r="BC99" s="7"/>
      <c r="BD99" s="7"/>
      <c r="BE99" s="7">
        <f t="shared" si="136"/>
        <v>0</v>
      </c>
      <c r="BF99" s="7"/>
      <c r="BG99" s="7"/>
      <c r="BH99" s="7">
        <f t="shared" si="137"/>
        <v>0</v>
      </c>
      <c r="BI99" s="7"/>
      <c r="BJ99" s="7"/>
      <c r="BK99" s="7">
        <f t="shared" si="138"/>
        <v>0</v>
      </c>
      <c r="BL99" s="7"/>
      <c r="BM99" s="7"/>
      <c r="BN99" s="7">
        <f t="shared" si="139"/>
        <v>0</v>
      </c>
      <c r="BO99" s="7"/>
      <c r="BP99" s="7"/>
      <c r="BQ99" s="7">
        <f t="shared" si="140"/>
        <v>0</v>
      </c>
      <c r="BR99" s="7"/>
      <c r="BS99" s="7"/>
      <c r="BT99" s="7">
        <f t="shared" si="141"/>
        <v>0</v>
      </c>
      <c r="BU99" s="7"/>
      <c r="BV99" s="7"/>
      <c r="BW99" s="7">
        <f t="shared" si="142"/>
        <v>0</v>
      </c>
      <c r="BX99" s="7"/>
      <c r="BY99" s="7">
        <f t="shared" si="109"/>
        <v>0</v>
      </c>
      <c r="BZ99" s="7">
        <f t="shared" si="110"/>
        <v>0</v>
      </c>
      <c r="CA99" s="7"/>
      <c r="CB99" s="7">
        <f t="shared" si="111"/>
        <v>800000</v>
      </c>
      <c r="CC99" s="7">
        <f t="shared" si="112"/>
        <v>800000</v>
      </c>
      <c r="CD99" s="15">
        <f t="shared" si="113"/>
        <v>0</v>
      </c>
      <c r="CE99" s="15">
        <f t="shared" si="114"/>
        <v>0</v>
      </c>
      <c r="CF99" s="451" t="s">
        <v>685</v>
      </c>
      <c r="CG99" s="27">
        <v>500000</v>
      </c>
      <c r="CH99" s="33">
        <v>200000</v>
      </c>
      <c r="CI99" s="33"/>
      <c r="CJ99" s="33"/>
      <c r="CK99" s="36"/>
      <c r="CL99" s="7"/>
      <c r="CM99" s="36"/>
      <c r="CN99" s="7"/>
      <c r="CO99" s="36"/>
      <c r="CP99" s="36"/>
      <c r="CQ99" s="7"/>
      <c r="CR99" s="7"/>
      <c r="CS99" s="7"/>
      <c r="CT99" s="36"/>
      <c r="CU99" s="36"/>
      <c r="CV99" s="7"/>
      <c r="CW99" s="36"/>
      <c r="CX99" s="36"/>
      <c r="CY99" s="7"/>
      <c r="CZ99" s="36"/>
      <c r="DA99" s="36"/>
      <c r="DB99" s="7"/>
      <c r="DC99" s="36"/>
      <c r="DD99" s="7"/>
      <c r="DE99" s="36"/>
      <c r="DF99" s="7"/>
      <c r="DG99" s="36"/>
      <c r="DH99" s="7"/>
      <c r="DI99" s="36"/>
      <c r="DJ99" s="7"/>
      <c r="DK99" s="36"/>
      <c r="DL99" s="7"/>
      <c r="DM99" s="36"/>
      <c r="DN99" s="7"/>
      <c r="DO99" s="36"/>
      <c r="DP99" s="14"/>
      <c r="DQ99" s="14"/>
      <c r="DR99" s="7"/>
      <c r="DS99" s="7"/>
      <c r="DT99" s="7"/>
      <c r="DU99" s="15"/>
      <c r="DV99" s="15"/>
      <c r="DW99" s="15"/>
      <c r="DX99" s="15"/>
      <c r="DY99" s="7"/>
      <c r="DZ99" s="27"/>
      <c r="EA99" s="109"/>
    </row>
    <row r="100" spans="1:131" s="1" customFormat="1" x14ac:dyDescent="0.25">
      <c r="A100" s="10" t="s">
        <v>30</v>
      </c>
      <c r="B100" s="24"/>
      <c r="C100" s="8" t="s">
        <v>228</v>
      </c>
      <c r="D100" s="24"/>
      <c r="E100" s="3">
        <v>415025</v>
      </c>
      <c r="F100" s="353">
        <v>4</v>
      </c>
      <c r="G100" s="359" t="s">
        <v>187</v>
      </c>
      <c r="H100" s="353">
        <v>1517</v>
      </c>
      <c r="I100" s="9" t="s">
        <v>41</v>
      </c>
      <c r="J100" s="10" t="s">
        <v>72</v>
      </c>
      <c r="K100" s="3">
        <v>4</v>
      </c>
      <c r="L100" s="11" t="s">
        <v>187</v>
      </c>
      <c r="M100" s="45"/>
      <c r="N100" s="11" t="s">
        <v>186</v>
      </c>
      <c r="O100" s="3" t="s">
        <v>190</v>
      </c>
      <c r="P100" s="11" t="s">
        <v>187</v>
      </c>
      <c r="Q100" s="11" t="s">
        <v>187</v>
      </c>
      <c r="R100" s="3">
        <v>270</v>
      </c>
      <c r="S100" s="3" t="s">
        <v>188</v>
      </c>
      <c r="T100" s="12" t="s">
        <v>26</v>
      </c>
      <c r="U100" s="12" t="s">
        <v>222</v>
      </c>
      <c r="V100" s="12"/>
      <c r="W100" s="12" t="s">
        <v>5</v>
      </c>
      <c r="X100" s="12" t="s">
        <v>57</v>
      </c>
      <c r="Y100" s="13" t="s">
        <v>98</v>
      </c>
      <c r="Z100" s="25" t="s">
        <v>92</v>
      </c>
      <c r="AA100" s="10" t="s">
        <v>493</v>
      </c>
      <c r="AB100" s="12" t="s">
        <v>8</v>
      </c>
      <c r="AC100" s="27"/>
      <c r="AD100" s="36"/>
      <c r="AE100" s="7"/>
      <c r="AF100" s="33"/>
      <c r="AG100" s="7">
        <f t="shared" si="24"/>
        <v>0</v>
      </c>
      <c r="AH100" s="33"/>
      <c r="AI100" s="7">
        <f t="shared" si="25"/>
        <v>0</v>
      </c>
      <c r="AJ100" s="409"/>
      <c r="AK100" s="27">
        <v>800000</v>
      </c>
      <c r="AL100" s="36"/>
      <c r="AM100" s="33">
        <f t="shared" ref="AM100:AM196" si="143">AK100+AL100</f>
        <v>800000</v>
      </c>
      <c r="AN100" s="36">
        <v>0</v>
      </c>
      <c r="AO100" s="36">
        <v>0</v>
      </c>
      <c r="AP100" s="7">
        <f t="shared" si="132"/>
        <v>0</v>
      </c>
      <c r="AQ100" s="36"/>
      <c r="AR100" s="36"/>
      <c r="AS100" s="7">
        <f t="shared" si="133"/>
        <v>0</v>
      </c>
      <c r="AT100" s="36"/>
      <c r="AU100" s="36"/>
      <c r="AV100" s="7">
        <f t="shared" si="134"/>
        <v>0</v>
      </c>
      <c r="AW100" s="7"/>
      <c r="AX100" s="7"/>
      <c r="AY100" s="7">
        <f t="shared" si="107"/>
        <v>0</v>
      </c>
      <c r="AZ100" s="7"/>
      <c r="BA100" s="7"/>
      <c r="BB100" s="7">
        <f t="shared" si="135"/>
        <v>0</v>
      </c>
      <c r="BC100" s="7"/>
      <c r="BD100" s="7"/>
      <c r="BE100" s="7">
        <f t="shared" si="136"/>
        <v>0</v>
      </c>
      <c r="BF100" s="7"/>
      <c r="BG100" s="7"/>
      <c r="BH100" s="7">
        <f t="shared" si="137"/>
        <v>0</v>
      </c>
      <c r="BI100" s="7"/>
      <c r="BJ100" s="7"/>
      <c r="BK100" s="7">
        <f t="shared" si="138"/>
        <v>0</v>
      </c>
      <c r="BL100" s="7"/>
      <c r="BM100" s="7"/>
      <c r="BN100" s="7">
        <f t="shared" si="139"/>
        <v>0</v>
      </c>
      <c r="BO100" s="7"/>
      <c r="BP100" s="7"/>
      <c r="BQ100" s="7">
        <f t="shared" si="140"/>
        <v>0</v>
      </c>
      <c r="BR100" s="7"/>
      <c r="BS100" s="7"/>
      <c r="BT100" s="7">
        <f t="shared" si="141"/>
        <v>0</v>
      </c>
      <c r="BU100" s="7"/>
      <c r="BV100" s="7"/>
      <c r="BW100" s="7">
        <f t="shared" si="142"/>
        <v>0</v>
      </c>
      <c r="BX100" s="7"/>
      <c r="BY100" s="7">
        <f t="shared" si="109"/>
        <v>0</v>
      </c>
      <c r="BZ100" s="7">
        <f t="shared" si="110"/>
        <v>0</v>
      </c>
      <c r="CA100" s="7"/>
      <c r="CB100" s="7">
        <f t="shared" si="111"/>
        <v>800000</v>
      </c>
      <c r="CC100" s="7">
        <f t="shared" si="112"/>
        <v>800000</v>
      </c>
      <c r="CD100" s="15">
        <f t="shared" si="113"/>
        <v>0</v>
      </c>
      <c r="CE100" s="15">
        <f t="shared" si="114"/>
        <v>0</v>
      </c>
      <c r="CF100" s="451" t="s">
        <v>685</v>
      </c>
      <c r="CG100" s="27">
        <v>1500000</v>
      </c>
      <c r="CH100" s="33">
        <v>500000</v>
      </c>
      <c r="CI100" s="33"/>
      <c r="CJ100" s="33"/>
      <c r="CK100" s="36"/>
      <c r="CL100" s="7"/>
      <c r="CM100" s="36"/>
      <c r="CN100" s="7"/>
      <c r="CO100" s="36"/>
      <c r="CP100" s="36"/>
      <c r="CQ100" s="7"/>
      <c r="CR100" s="7"/>
      <c r="CS100" s="7"/>
      <c r="CT100" s="36"/>
      <c r="CU100" s="36"/>
      <c r="CV100" s="7"/>
      <c r="CW100" s="36"/>
      <c r="CX100" s="36"/>
      <c r="CY100" s="7"/>
      <c r="CZ100" s="36"/>
      <c r="DA100" s="36"/>
      <c r="DB100" s="7"/>
      <c r="DC100" s="36"/>
      <c r="DD100" s="7"/>
      <c r="DE100" s="36"/>
      <c r="DF100" s="7"/>
      <c r="DG100" s="36"/>
      <c r="DH100" s="7"/>
      <c r="DI100" s="36"/>
      <c r="DJ100" s="7"/>
      <c r="DK100" s="36"/>
      <c r="DL100" s="7"/>
      <c r="DM100" s="36"/>
      <c r="DN100" s="7"/>
      <c r="DO100" s="36"/>
      <c r="DP100" s="14"/>
      <c r="DQ100" s="14"/>
      <c r="DR100" s="7"/>
      <c r="DS100" s="7"/>
      <c r="DT100" s="7"/>
      <c r="DU100" s="15"/>
      <c r="DV100" s="15"/>
      <c r="DW100" s="15"/>
      <c r="DX100" s="15"/>
      <c r="DY100" s="7"/>
      <c r="DZ100" s="27"/>
      <c r="EA100" s="109"/>
    </row>
    <row r="101" spans="1:131" s="1" customFormat="1" ht="16.5" thickBot="1" x14ac:dyDescent="0.3">
      <c r="A101" s="18"/>
      <c r="B101" s="29"/>
      <c r="C101" s="18"/>
      <c r="D101" s="29"/>
      <c r="E101" s="16"/>
      <c r="F101" s="355"/>
      <c r="G101" s="355"/>
      <c r="H101" s="355"/>
      <c r="I101" s="37"/>
      <c r="J101" s="38"/>
      <c r="K101" s="16"/>
      <c r="L101" s="16"/>
      <c r="M101" s="57"/>
      <c r="N101" s="16"/>
      <c r="O101" s="16"/>
      <c r="P101" s="16"/>
      <c r="Q101" s="16"/>
      <c r="R101" s="16"/>
      <c r="S101" s="16"/>
      <c r="T101" s="28"/>
      <c r="U101" s="28"/>
      <c r="V101" s="28"/>
      <c r="W101" s="28"/>
      <c r="X101" s="28"/>
      <c r="Y101" s="39"/>
      <c r="Z101" s="30"/>
      <c r="AA101" s="55" t="s">
        <v>112</v>
      </c>
      <c r="AB101" s="28"/>
      <c r="AC101" s="42">
        <f>SUM(AC85:AC98)</f>
        <v>6850000</v>
      </c>
      <c r="AD101" s="42">
        <f>SUM(AD85:AD98)</f>
        <v>-250000</v>
      </c>
      <c r="AE101" s="42">
        <f>SUM(AE85:AE98)</f>
        <v>6600000</v>
      </c>
      <c r="AF101" s="42">
        <f>SUM(AF85:AF98)</f>
        <v>0</v>
      </c>
      <c r="AG101" s="7">
        <f t="shared" si="24"/>
        <v>6600000</v>
      </c>
      <c r="AH101" s="42">
        <f t="shared" ref="AH101:CJ101" si="144">SUM(AH82:AH100)</f>
        <v>0</v>
      </c>
      <c r="AI101" s="7">
        <f t="shared" si="25"/>
        <v>6600000</v>
      </c>
      <c r="AJ101" s="410">
        <f t="shared" si="144"/>
        <v>0</v>
      </c>
      <c r="AK101" s="42">
        <f>SUM(AK82:AK100)</f>
        <v>15100000</v>
      </c>
      <c r="AL101" s="42">
        <f t="shared" ref="AL101:AM101" si="145">SUM(AL82:AL100)</f>
        <v>8324633</v>
      </c>
      <c r="AM101" s="42">
        <f t="shared" si="145"/>
        <v>23437633</v>
      </c>
      <c r="AN101" s="42">
        <f t="shared" ref="AN101:CA101" si="146">SUM(AN82:AN100)</f>
        <v>0</v>
      </c>
      <c r="AO101" s="42">
        <f t="shared" si="146"/>
        <v>0</v>
      </c>
      <c r="AP101" s="42">
        <f t="shared" si="146"/>
        <v>0</v>
      </c>
      <c r="AQ101" s="42">
        <f t="shared" si="146"/>
        <v>0</v>
      </c>
      <c r="AR101" s="42">
        <f t="shared" si="146"/>
        <v>0</v>
      </c>
      <c r="AS101" s="42">
        <f t="shared" si="146"/>
        <v>0</v>
      </c>
      <c r="AT101" s="42">
        <f t="shared" si="146"/>
        <v>589776.79</v>
      </c>
      <c r="AU101" s="42">
        <f t="shared" si="146"/>
        <v>0</v>
      </c>
      <c r="AV101" s="42">
        <f t="shared" si="146"/>
        <v>589776.79</v>
      </c>
      <c r="AW101" s="42">
        <f t="shared" si="146"/>
        <v>353865.69</v>
      </c>
      <c r="AX101" s="42">
        <f t="shared" si="146"/>
        <v>0</v>
      </c>
      <c r="AY101" s="42">
        <f t="shared" si="146"/>
        <v>353865.69</v>
      </c>
      <c r="AZ101" s="42">
        <f t="shared" si="146"/>
        <v>0</v>
      </c>
      <c r="BA101" s="42">
        <f t="shared" si="146"/>
        <v>0</v>
      </c>
      <c r="BB101" s="42">
        <f t="shared" si="146"/>
        <v>0</v>
      </c>
      <c r="BC101" s="42">
        <f t="shared" si="146"/>
        <v>0</v>
      </c>
      <c r="BD101" s="42">
        <f t="shared" si="146"/>
        <v>0</v>
      </c>
      <c r="BE101" s="42">
        <f t="shared" si="146"/>
        <v>0</v>
      </c>
      <c r="BF101" s="42">
        <f t="shared" si="146"/>
        <v>0</v>
      </c>
      <c r="BG101" s="42">
        <f t="shared" si="146"/>
        <v>0</v>
      </c>
      <c r="BH101" s="42">
        <f t="shared" si="146"/>
        <v>0</v>
      </c>
      <c r="BI101" s="42">
        <f t="shared" si="146"/>
        <v>0</v>
      </c>
      <c r="BJ101" s="42">
        <f t="shared" si="146"/>
        <v>0</v>
      </c>
      <c r="BK101" s="42">
        <f t="shared" si="146"/>
        <v>0</v>
      </c>
      <c r="BL101" s="42">
        <f t="shared" si="146"/>
        <v>0</v>
      </c>
      <c r="BM101" s="42">
        <f t="shared" si="146"/>
        <v>0</v>
      </c>
      <c r="BN101" s="42">
        <f t="shared" si="146"/>
        <v>0</v>
      </c>
      <c r="BO101" s="42">
        <f t="shared" si="146"/>
        <v>0</v>
      </c>
      <c r="BP101" s="42">
        <f t="shared" si="146"/>
        <v>0</v>
      </c>
      <c r="BQ101" s="42">
        <f t="shared" si="146"/>
        <v>0</v>
      </c>
      <c r="BR101" s="42">
        <f t="shared" si="146"/>
        <v>0</v>
      </c>
      <c r="BS101" s="42">
        <f t="shared" si="146"/>
        <v>0</v>
      </c>
      <c r="BT101" s="42">
        <f t="shared" si="146"/>
        <v>0</v>
      </c>
      <c r="BU101" s="42">
        <f t="shared" si="146"/>
        <v>0</v>
      </c>
      <c r="BV101" s="42">
        <f t="shared" si="146"/>
        <v>0</v>
      </c>
      <c r="BW101" s="42">
        <f t="shared" si="146"/>
        <v>0</v>
      </c>
      <c r="BX101" s="42">
        <f t="shared" si="146"/>
        <v>652593.68999999994</v>
      </c>
      <c r="BY101" s="20">
        <f t="shared" si="109"/>
        <v>943642.48</v>
      </c>
      <c r="BZ101" s="20">
        <f t="shared" si="110"/>
        <v>943642.48</v>
      </c>
      <c r="CA101" s="42">
        <f t="shared" si="146"/>
        <v>0</v>
      </c>
      <c r="CB101" s="20">
        <f t="shared" si="111"/>
        <v>22493990.52</v>
      </c>
      <c r="CC101" s="20">
        <f t="shared" si="112"/>
        <v>22493990.52</v>
      </c>
      <c r="CD101" s="21">
        <f t="shared" si="113"/>
        <v>4.0261850674084707E-2</v>
      </c>
      <c r="CE101" s="21">
        <f t="shared" si="114"/>
        <v>4.0261850674084707E-2</v>
      </c>
      <c r="CF101" s="451"/>
      <c r="CG101" s="42">
        <f t="shared" si="144"/>
        <v>22100000</v>
      </c>
      <c r="CH101" s="42">
        <f t="shared" si="144"/>
        <v>20200000</v>
      </c>
      <c r="CI101" s="42">
        <f t="shared" si="144"/>
        <v>0</v>
      </c>
      <c r="CJ101" s="42">
        <f t="shared" si="144"/>
        <v>0</v>
      </c>
      <c r="CK101" s="42">
        <f t="shared" ref="CK101:DT101" si="147">SUM(CK85:CK98)</f>
        <v>0</v>
      </c>
      <c r="CL101" s="42">
        <f t="shared" si="147"/>
        <v>0</v>
      </c>
      <c r="CM101" s="42">
        <f t="shared" si="147"/>
        <v>0</v>
      </c>
      <c r="CN101" s="42">
        <f t="shared" si="147"/>
        <v>0</v>
      </c>
      <c r="CO101" s="42">
        <f t="shared" si="147"/>
        <v>581900</v>
      </c>
      <c r="CP101" s="42">
        <f t="shared" si="147"/>
        <v>0</v>
      </c>
      <c r="CQ101" s="42">
        <f t="shared" si="147"/>
        <v>581900</v>
      </c>
      <c r="CR101" s="42">
        <f t="shared" si="147"/>
        <v>581900</v>
      </c>
      <c r="CS101" s="42">
        <f t="shared" si="147"/>
        <v>581900</v>
      </c>
      <c r="CT101" s="42">
        <f t="shared" si="147"/>
        <v>1682648.54</v>
      </c>
      <c r="CU101" s="42">
        <f t="shared" si="147"/>
        <v>0</v>
      </c>
      <c r="CV101" s="42">
        <f t="shared" si="147"/>
        <v>1682648.54</v>
      </c>
      <c r="CW101" s="42">
        <f t="shared" si="147"/>
        <v>894103.27</v>
      </c>
      <c r="CX101" s="42">
        <f t="shared" si="147"/>
        <v>0</v>
      </c>
      <c r="CY101" s="42">
        <f t="shared" si="147"/>
        <v>894103.27</v>
      </c>
      <c r="CZ101" s="42">
        <f t="shared" si="147"/>
        <v>684030.25</v>
      </c>
      <c r="DA101" s="42">
        <f t="shared" si="147"/>
        <v>2754.3</v>
      </c>
      <c r="DB101" s="42">
        <f t="shared" si="147"/>
        <v>686784.55</v>
      </c>
      <c r="DC101" s="42">
        <f t="shared" si="147"/>
        <v>0</v>
      </c>
      <c r="DD101" s="42">
        <f t="shared" si="147"/>
        <v>0</v>
      </c>
      <c r="DE101" s="42">
        <f t="shared" si="147"/>
        <v>0</v>
      </c>
      <c r="DF101" s="42">
        <f t="shared" si="147"/>
        <v>0</v>
      </c>
      <c r="DG101" s="42">
        <f t="shared" si="147"/>
        <v>0</v>
      </c>
      <c r="DH101" s="42">
        <f t="shared" si="147"/>
        <v>0</v>
      </c>
      <c r="DI101" s="42">
        <f t="shared" si="147"/>
        <v>0</v>
      </c>
      <c r="DJ101" s="42">
        <f t="shared" si="147"/>
        <v>0</v>
      </c>
      <c r="DK101" s="42">
        <f t="shared" si="147"/>
        <v>0</v>
      </c>
      <c r="DL101" s="42">
        <f t="shared" si="147"/>
        <v>0</v>
      </c>
      <c r="DM101" s="42">
        <f t="shared" si="147"/>
        <v>0</v>
      </c>
      <c r="DN101" s="42">
        <f t="shared" si="147"/>
        <v>0</v>
      </c>
      <c r="DO101" s="42">
        <f t="shared" si="147"/>
        <v>1696609.52</v>
      </c>
      <c r="DP101" s="42">
        <f t="shared" si="147"/>
        <v>3842682.06</v>
      </c>
      <c r="DQ101" s="42">
        <f t="shared" si="147"/>
        <v>3845436.36</v>
      </c>
      <c r="DR101" s="42">
        <f t="shared" si="147"/>
        <v>0</v>
      </c>
      <c r="DS101" s="42">
        <f t="shared" si="147"/>
        <v>2757317.94</v>
      </c>
      <c r="DT101" s="42">
        <f t="shared" si="147"/>
        <v>2754563.64</v>
      </c>
      <c r="DU101" s="21">
        <f>DP101/AG101</f>
        <v>0.58222455454545452</v>
      </c>
      <c r="DV101" s="21">
        <f>DQ101/AG101</f>
        <v>0.58264187272727275</v>
      </c>
      <c r="DW101" s="292"/>
      <c r="DX101" s="292"/>
      <c r="DY101" s="42">
        <f>SUM(DY82:DY100)</f>
        <v>0</v>
      </c>
      <c r="DZ101" s="120"/>
      <c r="EA101" s="109"/>
    </row>
    <row r="102" spans="1:131" s="1" customFormat="1" ht="16.5" thickTop="1" x14ac:dyDescent="0.25">
      <c r="A102" s="10"/>
      <c r="B102" s="24"/>
      <c r="C102" s="10"/>
      <c r="D102" s="24"/>
      <c r="E102" s="3"/>
      <c r="F102" s="353"/>
      <c r="G102" s="353"/>
      <c r="H102" s="353"/>
      <c r="I102" s="9"/>
      <c r="J102" s="10"/>
      <c r="K102" s="3"/>
      <c r="L102" s="3"/>
      <c r="M102" s="45"/>
      <c r="N102" s="3"/>
      <c r="O102" s="3"/>
      <c r="P102" s="3"/>
      <c r="Q102" s="3"/>
      <c r="R102" s="3"/>
      <c r="S102" s="3"/>
      <c r="T102" s="12"/>
      <c r="U102" s="12"/>
      <c r="V102" s="12"/>
      <c r="W102" s="12"/>
      <c r="X102" s="12"/>
      <c r="Y102" s="13"/>
      <c r="Z102" s="25"/>
      <c r="AA102" s="10"/>
      <c r="AB102" s="12"/>
      <c r="AC102" s="27"/>
      <c r="AD102" s="27"/>
      <c r="AE102" s="7"/>
      <c r="AF102" s="7"/>
      <c r="AG102" s="7">
        <f t="shared" si="24"/>
        <v>0</v>
      </c>
      <c r="AH102" s="33"/>
      <c r="AI102" s="7">
        <f t="shared" si="25"/>
        <v>0</v>
      </c>
      <c r="AJ102" s="409"/>
      <c r="AK102" s="27"/>
      <c r="AL102" s="36"/>
      <c r="AM102" s="33"/>
      <c r="AN102" s="36"/>
      <c r="AO102" s="36"/>
      <c r="AP102" s="7"/>
      <c r="AQ102" s="36"/>
      <c r="AR102" s="36"/>
      <c r="AS102" s="7"/>
      <c r="AT102" s="36"/>
      <c r="AU102" s="36"/>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15"/>
      <c r="CE102" s="15"/>
      <c r="CF102" s="451"/>
      <c r="CG102" s="27"/>
      <c r="CH102" s="7"/>
      <c r="CI102" s="7"/>
      <c r="CJ102" s="7"/>
      <c r="CK102" s="27"/>
      <c r="CL102" s="7"/>
      <c r="CM102" s="27"/>
      <c r="CN102" s="7"/>
      <c r="CO102" s="27"/>
      <c r="CP102" s="27"/>
      <c r="CQ102" s="7"/>
      <c r="CR102" s="7"/>
      <c r="CS102" s="7"/>
      <c r="CT102" s="27"/>
      <c r="CU102" s="27"/>
      <c r="CV102" s="7"/>
      <c r="CW102" s="27"/>
      <c r="CX102" s="27"/>
      <c r="CY102" s="7"/>
      <c r="CZ102" s="27"/>
      <c r="DA102" s="27"/>
      <c r="DB102" s="7"/>
      <c r="DC102" s="27"/>
      <c r="DD102" s="7">
        <f t="shared" si="122"/>
        <v>0</v>
      </c>
      <c r="DE102" s="27"/>
      <c r="DF102" s="7">
        <f t="shared" si="123"/>
        <v>0</v>
      </c>
      <c r="DG102" s="27"/>
      <c r="DH102" s="7">
        <f t="shared" si="124"/>
        <v>0</v>
      </c>
      <c r="DI102" s="27"/>
      <c r="DJ102" s="7">
        <f t="shared" si="125"/>
        <v>0</v>
      </c>
      <c r="DK102" s="27"/>
      <c r="DL102" s="7">
        <f t="shared" si="126"/>
        <v>0</v>
      </c>
      <c r="DM102" s="27"/>
      <c r="DN102" s="7">
        <f t="shared" si="127"/>
        <v>0</v>
      </c>
      <c r="DO102" s="27"/>
      <c r="DP102" s="14"/>
      <c r="DQ102" s="14"/>
      <c r="DR102" s="7"/>
      <c r="DS102" s="7"/>
      <c r="DT102" s="7"/>
      <c r="DU102" s="15"/>
      <c r="DV102" s="15"/>
      <c r="DW102" s="15"/>
      <c r="DX102" s="15"/>
      <c r="DY102" s="7"/>
      <c r="DZ102" s="122"/>
      <c r="EA102" s="109"/>
    </row>
    <row r="103" spans="1:131" s="10" customFormat="1" x14ac:dyDescent="0.25">
      <c r="A103" s="44" t="s">
        <v>50</v>
      </c>
      <c r="B103" s="43"/>
      <c r="C103" s="44"/>
      <c r="D103" s="43"/>
      <c r="E103" s="45"/>
      <c r="F103" s="356"/>
      <c r="G103" s="356"/>
      <c r="H103" s="356"/>
      <c r="I103" s="46"/>
      <c r="J103" s="47"/>
      <c r="K103" s="45"/>
      <c r="L103" s="45"/>
      <c r="M103" s="45"/>
      <c r="N103" s="45"/>
      <c r="O103" s="45"/>
      <c r="P103" s="45"/>
      <c r="Q103" s="45"/>
      <c r="R103" s="45"/>
      <c r="S103" s="45"/>
      <c r="T103" s="12"/>
      <c r="U103" s="12"/>
      <c r="V103" s="12"/>
      <c r="W103" s="48"/>
      <c r="X103" s="48"/>
      <c r="Y103" s="49"/>
      <c r="Z103" s="348"/>
      <c r="AA103" s="340" t="s">
        <v>50</v>
      </c>
      <c r="AB103" s="51"/>
      <c r="AC103" s="52"/>
      <c r="AD103" s="116"/>
      <c r="AE103" s="7"/>
      <c r="AF103" s="33"/>
      <c r="AG103" s="7">
        <f t="shared" si="24"/>
        <v>0</v>
      </c>
      <c r="AH103" s="33"/>
      <c r="AI103" s="7">
        <f t="shared" si="25"/>
        <v>0</v>
      </c>
      <c r="AJ103" s="409"/>
      <c r="AK103" s="59"/>
      <c r="AL103" s="117"/>
      <c r="AM103" s="33"/>
      <c r="AN103" s="117"/>
      <c r="AO103" s="117"/>
      <c r="AP103" s="7"/>
      <c r="AQ103" s="117"/>
      <c r="AR103" s="117"/>
      <c r="AS103" s="7"/>
      <c r="AT103" s="117"/>
      <c r="AU103" s="11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15"/>
      <c r="CE103" s="15"/>
      <c r="CF103" s="451"/>
      <c r="CG103" s="52"/>
      <c r="CH103" s="33"/>
      <c r="CI103" s="33"/>
      <c r="CJ103" s="33"/>
      <c r="CK103" s="116"/>
      <c r="CL103" s="7"/>
      <c r="CM103" s="116"/>
      <c r="CN103" s="7"/>
      <c r="CO103" s="116"/>
      <c r="CP103" s="116"/>
      <c r="CQ103" s="7"/>
      <c r="CR103" s="7"/>
      <c r="CS103" s="7"/>
      <c r="CT103" s="116"/>
      <c r="CU103" s="116"/>
      <c r="CV103" s="7"/>
      <c r="CW103" s="116"/>
      <c r="CX103" s="116"/>
      <c r="CY103" s="7"/>
      <c r="CZ103" s="116"/>
      <c r="DA103" s="116"/>
      <c r="DB103" s="7"/>
      <c r="DC103" s="116"/>
      <c r="DD103" s="7">
        <f t="shared" si="122"/>
        <v>0</v>
      </c>
      <c r="DE103" s="116"/>
      <c r="DF103" s="7">
        <f t="shared" si="123"/>
        <v>0</v>
      </c>
      <c r="DG103" s="116"/>
      <c r="DH103" s="7">
        <f t="shared" si="124"/>
        <v>0</v>
      </c>
      <c r="DI103" s="116"/>
      <c r="DJ103" s="7">
        <f t="shared" si="125"/>
        <v>0</v>
      </c>
      <c r="DK103" s="116"/>
      <c r="DL103" s="7">
        <f t="shared" si="126"/>
        <v>0</v>
      </c>
      <c r="DM103" s="116"/>
      <c r="DN103" s="7">
        <f t="shared" si="127"/>
        <v>0</v>
      </c>
      <c r="DO103" s="116"/>
      <c r="DP103" s="14"/>
      <c r="DQ103" s="14"/>
      <c r="DR103" s="7"/>
      <c r="DS103" s="7"/>
      <c r="DT103" s="7"/>
      <c r="DU103" s="15"/>
      <c r="DV103" s="15"/>
      <c r="DW103" s="15"/>
      <c r="DX103" s="15"/>
      <c r="DY103" s="7"/>
      <c r="DZ103" s="59"/>
      <c r="EA103" s="319"/>
    </row>
    <row r="104" spans="1:131" s="10" customFormat="1" x14ac:dyDescent="0.25">
      <c r="A104" s="10" t="s">
        <v>82</v>
      </c>
      <c r="B104" s="24" t="s">
        <v>759</v>
      </c>
      <c r="C104" s="8" t="s">
        <v>648</v>
      </c>
      <c r="D104" s="309"/>
      <c r="E104" s="3">
        <v>505005</v>
      </c>
      <c r="F104" s="353">
        <v>4</v>
      </c>
      <c r="G104" s="359" t="s">
        <v>187</v>
      </c>
      <c r="H104" s="353">
        <v>1520</v>
      </c>
      <c r="I104" s="9" t="s">
        <v>36</v>
      </c>
      <c r="J104" s="10" t="s">
        <v>72</v>
      </c>
      <c r="K104" s="3">
        <v>4</v>
      </c>
      <c r="L104" s="11" t="s">
        <v>187</v>
      </c>
      <c r="M104" s="45"/>
      <c r="N104" s="11" t="s">
        <v>186</v>
      </c>
      <c r="O104" s="11" t="s">
        <v>186</v>
      </c>
      <c r="P104" s="3"/>
      <c r="Q104" s="3"/>
      <c r="R104" s="3">
        <v>270</v>
      </c>
      <c r="S104" s="3" t="s">
        <v>188</v>
      </c>
      <c r="T104" s="12" t="s">
        <v>26</v>
      </c>
      <c r="U104" s="12" t="s">
        <v>222</v>
      </c>
      <c r="V104" s="12"/>
      <c r="W104" s="12" t="s">
        <v>5</v>
      </c>
      <c r="X104" s="51"/>
      <c r="Y104" s="13" t="s">
        <v>69</v>
      </c>
      <c r="Z104" s="348" t="s">
        <v>92</v>
      </c>
      <c r="AA104" s="252" t="s">
        <v>293</v>
      </c>
      <c r="AB104" s="12" t="s">
        <v>8</v>
      </c>
      <c r="AC104" s="52"/>
      <c r="AD104" s="116"/>
      <c r="AE104" s="7"/>
      <c r="AF104" s="33"/>
      <c r="AG104" s="7">
        <f t="shared" si="24"/>
        <v>0</v>
      </c>
      <c r="AH104" s="33"/>
      <c r="AI104" s="7">
        <f t="shared" si="25"/>
        <v>0</v>
      </c>
      <c r="AJ104" s="409"/>
      <c r="AK104" s="59">
        <v>500000</v>
      </c>
      <c r="AL104" s="117"/>
      <c r="AM104" s="33">
        <f t="shared" si="143"/>
        <v>500000</v>
      </c>
      <c r="AN104" s="36">
        <v>0</v>
      </c>
      <c r="AO104" s="36">
        <v>0</v>
      </c>
      <c r="AP104" s="7">
        <f t="shared" si="132"/>
        <v>0</v>
      </c>
      <c r="AQ104" s="117"/>
      <c r="AR104" s="117"/>
      <c r="AS104" s="7">
        <f t="shared" ref="AS104:AS198" si="148">AQ104+AR104</f>
        <v>0</v>
      </c>
      <c r="AT104" s="117"/>
      <c r="AU104" s="117"/>
      <c r="AV104" s="7">
        <f t="shared" ref="AV104:AV197" si="149">AT104+AU104</f>
        <v>0</v>
      </c>
      <c r="AW104" s="33"/>
      <c r="AX104" s="33"/>
      <c r="AY104" s="7">
        <f t="shared" si="107"/>
        <v>0</v>
      </c>
      <c r="AZ104" s="33"/>
      <c r="BA104" s="33"/>
      <c r="BB104" s="7">
        <f t="shared" si="135"/>
        <v>0</v>
      </c>
      <c r="BC104" s="33"/>
      <c r="BD104" s="33"/>
      <c r="BE104" s="7">
        <f t="shared" si="136"/>
        <v>0</v>
      </c>
      <c r="BF104" s="33"/>
      <c r="BG104" s="33"/>
      <c r="BH104" s="7">
        <f t="shared" si="137"/>
        <v>0</v>
      </c>
      <c r="BI104" s="33"/>
      <c r="BJ104" s="33"/>
      <c r="BK104" s="7">
        <f t="shared" si="138"/>
        <v>0</v>
      </c>
      <c r="BL104" s="33"/>
      <c r="BM104" s="33"/>
      <c r="BN104" s="7">
        <f t="shared" si="139"/>
        <v>0</v>
      </c>
      <c r="BO104" s="33"/>
      <c r="BP104" s="33"/>
      <c r="BQ104" s="7">
        <f t="shared" si="140"/>
        <v>0</v>
      </c>
      <c r="BR104" s="33"/>
      <c r="BS104" s="33"/>
      <c r="BT104" s="7">
        <f t="shared" si="141"/>
        <v>0</v>
      </c>
      <c r="BU104" s="33"/>
      <c r="BV104" s="33"/>
      <c r="BW104" s="7">
        <f t="shared" si="142"/>
        <v>0</v>
      </c>
      <c r="BX104" s="33">
        <v>133843.34</v>
      </c>
      <c r="BY104" s="7">
        <f t="shared" si="109"/>
        <v>0</v>
      </c>
      <c r="BZ104" s="7">
        <f t="shared" si="110"/>
        <v>0</v>
      </c>
      <c r="CA104" s="33"/>
      <c r="CB104" s="7">
        <f t="shared" si="111"/>
        <v>500000</v>
      </c>
      <c r="CC104" s="7">
        <f t="shared" si="112"/>
        <v>500000</v>
      </c>
      <c r="CD104" s="15">
        <f t="shared" si="113"/>
        <v>0</v>
      </c>
      <c r="CE104" s="15">
        <f t="shared" si="114"/>
        <v>0</v>
      </c>
      <c r="CF104" s="451" t="s">
        <v>685</v>
      </c>
      <c r="CG104" s="116">
        <v>500000</v>
      </c>
      <c r="CH104" s="33">
        <v>500000</v>
      </c>
      <c r="CI104" s="33"/>
      <c r="CJ104" s="33"/>
      <c r="CK104" s="116"/>
      <c r="CL104" s="7"/>
      <c r="CM104" s="116"/>
      <c r="CN104" s="7"/>
      <c r="CO104" s="116"/>
      <c r="CP104" s="116"/>
      <c r="CQ104" s="7"/>
      <c r="CR104" s="7"/>
      <c r="CS104" s="7"/>
      <c r="CT104" s="116"/>
      <c r="CU104" s="116"/>
      <c r="CV104" s="7"/>
      <c r="CW104" s="116"/>
      <c r="CX104" s="116"/>
      <c r="CY104" s="7"/>
      <c r="CZ104" s="116"/>
      <c r="DA104" s="116"/>
      <c r="DB104" s="7"/>
      <c r="DC104" s="116"/>
      <c r="DD104" s="7"/>
      <c r="DE104" s="116"/>
      <c r="DF104" s="7"/>
      <c r="DG104" s="116"/>
      <c r="DH104" s="7"/>
      <c r="DI104" s="116"/>
      <c r="DJ104" s="7"/>
      <c r="DK104" s="116"/>
      <c r="DL104" s="7"/>
      <c r="DM104" s="116"/>
      <c r="DN104" s="7"/>
      <c r="DO104" s="116"/>
      <c r="DP104" s="14"/>
      <c r="DQ104" s="14"/>
      <c r="DR104" s="7"/>
      <c r="DS104" s="7"/>
      <c r="DT104" s="7"/>
      <c r="DU104" s="15"/>
      <c r="DV104" s="15"/>
      <c r="DW104" s="15"/>
      <c r="DX104" s="15"/>
      <c r="DY104" s="7"/>
      <c r="DZ104" s="59"/>
      <c r="EA104" s="319"/>
    </row>
    <row r="105" spans="1:131" s="10" customFormat="1" x14ac:dyDescent="0.25">
      <c r="A105" s="10" t="s">
        <v>82</v>
      </c>
      <c r="B105" s="24" t="s">
        <v>758</v>
      </c>
      <c r="C105" s="8" t="s">
        <v>230</v>
      </c>
      <c r="D105" s="309"/>
      <c r="E105" s="3">
        <v>510005</v>
      </c>
      <c r="F105" s="353">
        <v>4</v>
      </c>
      <c r="G105" s="359" t="s">
        <v>187</v>
      </c>
      <c r="H105" s="353">
        <v>1559</v>
      </c>
      <c r="I105" s="9" t="s">
        <v>245</v>
      </c>
      <c r="J105" s="10" t="s">
        <v>73</v>
      </c>
      <c r="K105" s="3"/>
      <c r="L105" s="11"/>
      <c r="M105" s="45"/>
      <c r="N105" s="3" t="s">
        <v>186</v>
      </c>
      <c r="O105" s="11" t="s">
        <v>186</v>
      </c>
      <c r="P105" s="3" t="s">
        <v>187</v>
      </c>
      <c r="Q105" s="3" t="s">
        <v>187</v>
      </c>
      <c r="R105" s="11" t="s">
        <v>194</v>
      </c>
      <c r="S105" s="11" t="s">
        <v>188</v>
      </c>
      <c r="T105" s="12" t="s">
        <v>517</v>
      </c>
      <c r="U105" s="12"/>
      <c r="V105" s="12" t="s">
        <v>222</v>
      </c>
      <c r="W105" s="12" t="s">
        <v>35</v>
      </c>
      <c r="X105" s="51"/>
      <c r="Y105" s="13" t="s">
        <v>69</v>
      </c>
      <c r="Z105" s="348" t="s">
        <v>92</v>
      </c>
      <c r="AA105" s="252" t="s">
        <v>713</v>
      </c>
      <c r="AB105" s="12" t="s">
        <v>8</v>
      </c>
      <c r="AC105" s="52"/>
      <c r="AD105" s="116"/>
      <c r="AE105" s="7"/>
      <c r="AF105" s="33"/>
      <c r="AG105" s="7"/>
      <c r="AH105" s="33"/>
      <c r="AI105" s="7"/>
      <c r="AJ105" s="409"/>
      <c r="AK105" s="59"/>
      <c r="AL105" s="117">
        <v>2000000</v>
      </c>
      <c r="AM105" s="33">
        <f t="shared" si="143"/>
        <v>2000000</v>
      </c>
      <c r="AN105" s="36"/>
      <c r="AO105" s="36"/>
      <c r="AP105" s="7">
        <f t="shared" si="132"/>
        <v>0</v>
      </c>
      <c r="AQ105" s="117"/>
      <c r="AR105" s="117"/>
      <c r="AS105" s="7">
        <f t="shared" si="148"/>
        <v>0</v>
      </c>
      <c r="AT105" s="117"/>
      <c r="AU105" s="117"/>
      <c r="AV105" s="7">
        <f t="shared" si="149"/>
        <v>0</v>
      </c>
      <c r="AW105" s="33"/>
      <c r="AX105" s="33"/>
      <c r="AY105" s="7">
        <f t="shared" si="107"/>
        <v>0</v>
      </c>
      <c r="AZ105" s="33"/>
      <c r="BA105" s="33"/>
      <c r="BB105" s="7"/>
      <c r="BC105" s="33"/>
      <c r="BD105" s="33"/>
      <c r="BE105" s="7"/>
      <c r="BF105" s="33"/>
      <c r="BG105" s="33"/>
      <c r="BH105" s="7"/>
      <c r="BI105" s="33"/>
      <c r="BJ105" s="33"/>
      <c r="BK105" s="7"/>
      <c r="BL105" s="33"/>
      <c r="BM105" s="33"/>
      <c r="BN105" s="7"/>
      <c r="BO105" s="33"/>
      <c r="BP105" s="33"/>
      <c r="BQ105" s="7"/>
      <c r="BR105" s="33"/>
      <c r="BS105" s="33"/>
      <c r="BT105" s="7"/>
      <c r="BU105" s="33"/>
      <c r="BV105" s="33"/>
      <c r="BW105" s="7"/>
      <c r="BX105" s="33"/>
      <c r="BY105" s="7">
        <f t="shared" si="109"/>
        <v>0</v>
      </c>
      <c r="BZ105" s="7">
        <f t="shared" si="110"/>
        <v>0</v>
      </c>
      <c r="CA105" s="33"/>
      <c r="CB105" s="7">
        <f t="shared" si="111"/>
        <v>2000000</v>
      </c>
      <c r="CC105" s="7">
        <f t="shared" si="112"/>
        <v>2000000</v>
      </c>
      <c r="CD105" s="15">
        <f t="shared" si="113"/>
        <v>0</v>
      </c>
      <c r="CE105" s="15">
        <f t="shared" si="114"/>
        <v>0</v>
      </c>
      <c r="CF105" s="451" t="s">
        <v>685</v>
      </c>
      <c r="CG105" s="116"/>
      <c r="CH105" s="33"/>
      <c r="CI105" s="33"/>
      <c r="CJ105" s="33"/>
      <c r="CK105" s="116"/>
      <c r="CL105" s="7"/>
      <c r="CM105" s="116"/>
      <c r="CN105" s="7"/>
      <c r="CO105" s="116"/>
      <c r="CP105" s="116"/>
      <c r="CQ105" s="7"/>
      <c r="CR105" s="7"/>
      <c r="CS105" s="7"/>
      <c r="CT105" s="116"/>
      <c r="CU105" s="116"/>
      <c r="CV105" s="7"/>
      <c r="CW105" s="116"/>
      <c r="CX105" s="116"/>
      <c r="CY105" s="7"/>
      <c r="CZ105" s="116"/>
      <c r="DA105" s="116"/>
      <c r="DB105" s="7"/>
      <c r="DC105" s="116"/>
      <c r="DD105" s="7"/>
      <c r="DE105" s="116"/>
      <c r="DF105" s="7"/>
      <c r="DG105" s="116"/>
      <c r="DH105" s="7"/>
      <c r="DI105" s="116"/>
      <c r="DJ105" s="7"/>
      <c r="DK105" s="116"/>
      <c r="DL105" s="7"/>
      <c r="DM105" s="116"/>
      <c r="DN105" s="7"/>
      <c r="DO105" s="116"/>
      <c r="DP105" s="14"/>
      <c r="DQ105" s="14"/>
      <c r="DR105" s="7"/>
      <c r="DS105" s="7"/>
      <c r="DT105" s="7"/>
      <c r="DU105" s="15"/>
      <c r="DV105" s="15"/>
      <c r="DW105" s="15"/>
      <c r="DX105" s="15"/>
      <c r="DY105" s="7"/>
      <c r="DZ105" s="59"/>
      <c r="EA105" s="319"/>
    </row>
    <row r="106" spans="1:131" s="10" customFormat="1" x14ac:dyDescent="0.25">
      <c r="A106" s="10" t="s">
        <v>82</v>
      </c>
      <c r="B106" s="24" t="s">
        <v>758</v>
      </c>
      <c r="C106" s="8" t="s">
        <v>230</v>
      </c>
      <c r="D106" s="309"/>
      <c r="E106" s="3">
        <v>510005</v>
      </c>
      <c r="F106" s="353">
        <v>6</v>
      </c>
      <c r="G106" s="359" t="s">
        <v>187</v>
      </c>
      <c r="H106" s="353">
        <v>1511</v>
      </c>
      <c r="I106" s="9" t="s">
        <v>245</v>
      </c>
      <c r="J106" s="10" t="s">
        <v>73</v>
      </c>
      <c r="K106" s="3"/>
      <c r="L106" s="11"/>
      <c r="M106" s="45"/>
      <c r="N106" s="3" t="s">
        <v>186</v>
      </c>
      <c r="O106" s="11" t="s">
        <v>186</v>
      </c>
      <c r="P106" s="3" t="s">
        <v>187</v>
      </c>
      <c r="Q106" s="3" t="s">
        <v>187</v>
      </c>
      <c r="R106" s="11" t="s">
        <v>194</v>
      </c>
      <c r="S106" s="11" t="s">
        <v>259</v>
      </c>
      <c r="T106" s="12" t="s">
        <v>517</v>
      </c>
      <c r="U106" s="12"/>
      <c r="V106" s="12" t="s">
        <v>222</v>
      </c>
      <c r="W106" s="12" t="s">
        <v>35</v>
      </c>
      <c r="X106" s="51"/>
      <c r="Y106" s="13" t="s">
        <v>69</v>
      </c>
      <c r="Z106" s="348" t="s">
        <v>92</v>
      </c>
      <c r="AA106" s="252" t="s">
        <v>713</v>
      </c>
      <c r="AB106" s="12" t="s">
        <v>697</v>
      </c>
      <c r="AC106" s="52"/>
      <c r="AD106" s="116"/>
      <c r="AE106" s="7"/>
      <c r="AF106" s="33"/>
      <c r="AG106" s="7"/>
      <c r="AH106" s="33"/>
      <c r="AI106" s="7"/>
      <c r="AJ106" s="409"/>
      <c r="AK106" s="59"/>
      <c r="AL106" s="117">
        <v>1574513</v>
      </c>
      <c r="AM106" s="33">
        <f t="shared" si="143"/>
        <v>1574513</v>
      </c>
      <c r="AN106" s="117"/>
      <c r="AO106" s="117"/>
      <c r="AP106" s="7">
        <f t="shared" si="132"/>
        <v>0</v>
      </c>
      <c r="AQ106" s="117"/>
      <c r="AR106" s="117"/>
      <c r="AS106" s="7">
        <f t="shared" si="148"/>
        <v>0</v>
      </c>
      <c r="AT106" s="117"/>
      <c r="AU106" s="117"/>
      <c r="AV106" s="7">
        <f t="shared" si="149"/>
        <v>0</v>
      </c>
      <c r="AW106" s="33">
        <v>8580</v>
      </c>
      <c r="AX106" s="33"/>
      <c r="AY106" s="7">
        <f t="shared" si="107"/>
        <v>8580</v>
      </c>
      <c r="AZ106" s="33"/>
      <c r="BA106" s="33"/>
      <c r="BB106" s="7"/>
      <c r="BC106" s="33"/>
      <c r="BD106" s="33"/>
      <c r="BE106" s="7"/>
      <c r="BF106" s="33"/>
      <c r="BG106" s="33"/>
      <c r="BH106" s="7"/>
      <c r="BI106" s="33"/>
      <c r="BJ106" s="33"/>
      <c r="BK106" s="7"/>
      <c r="BL106" s="33"/>
      <c r="BM106" s="33"/>
      <c r="BN106" s="7"/>
      <c r="BO106" s="33"/>
      <c r="BP106" s="33"/>
      <c r="BQ106" s="7"/>
      <c r="BR106" s="33"/>
      <c r="BS106" s="33"/>
      <c r="BT106" s="7"/>
      <c r="BU106" s="33"/>
      <c r="BV106" s="33"/>
      <c r="BW106" s="7"/>
      <c r="BX106" s="33">
        <v>295591.65999999997</v>
      </c>
      <c r="BY106" s="7">
        <f t="shared" si="109"/>
        <v>8580</v>
      </c>
      <c r="BZ106" s="7">
        <f t="shared" si="110"/>
        <v>8580</v>
      </c>
      <c r="CA106" s="33"/>
      <c r="CB106" s="7">
        <f t="shared" si="111"/>
        <v>1565933</v>
      </c>
      <c r="CC106" s="7">
        <f t="shared" si="112"/>
        <v>1565933</v>
      </c>
      <c r="CD106" s="15">
        <f t="shared" si="113"/>
        <v>5.4493040070167729E-3</v>
      </c>
      <c r="CE106" s="15">
        <f t="shared" si="114"/>
        <v>5.4493040070167729E-3</v>
      </c>
      <c r="CF106" s="451" t="s">
        <v>685</v>
      </c>
      <c r="CG106" s="116"/>
      <c r="CH106" s="33"/>
      <c r="CI106" s="33"/>
      <c r="CJ106" s="33"/>
      <c r="CK106" s="116"/>
      <c r="CL106" s="7"/>
      <c r="CM106" s="116"/>
      <c r="CN106" s="7"/>
      <c r="CO106" s="116"/>
      <c r="CP106" s="116"/>
      <c r="CQ106" s="7"/>
      <c r="CR106" s="7"/>
      <c r="CS106" s="7"/>
      <c r="CT106" s="116"/>
      <c r="CU106" s="116"/>
      <c r="CV106" s="7"/>
      <c r="CW106" s="116"/>
      <c r="CX106" s="116"/>
      <c r="CY106" s="7"/>
      <c r="CZ106" s="116"/>
      <c r="DA106" s="116"/>
      <c r="DB106" s="7"/>
      <c r="DC106" s="116"/>
      <c r="DD106" s="7"/>
      <c r="DE106" s="116"/>
      <c r="DF106" s="7"/>
      <c r="DG106" s="116"/>
      <c r="DH106" s="7"/>
      <c r="DI106" s="116"/>
      <c r="DJ106" s="7"/>
      <c r="DK106" s="116"/>
      <c r="DL106" s="7"/>
      <c r="DM106" s="116"/>
      <c r="DN106" s="7"/>
      <c r="DO106" s="116"/>
      <c r="DP106" s="14"/>
      <c r="DQ106" s="14"/>
      <c r="DR106" s="7"/>
      <c r="DS106" s="7"/>
      <c r="DT106" s="7"/>
      <c r="DU106" s="15"/>
      <c r="DV106" s="15"/>
      <c r="DW106" s="15"/>
      <c r="DX106" s="15"/>
      <c r="DY106" s="7"/>
      <c r="DZ106" s="59"/>
      <c r="EA106" s="319"/>
    </row>
    <row r="107" spans="1:131" s="10" customFormat="1" ht="42" customHeight="1" x14ac:dyDescent="0.25">
      <c r="A107" s="10" t="s">
        <v>82</v>
      </c>
      <c r="B107" s="24" t="s">
        <v>254</v>
      </c>
      <c r="C107" s="8" t="s">
        <v>230</v>
      </c>
      <c r="D107" s="12" t="s">
        <v>73</v>
      </c>
      <c r="E107" s="3">
        <v>515010</v>
      </c>
      <c r="F107" s="353">
        <v>4</v>
      </c>
      <c r="G107" s="359">
        <v>36</v>
      </c>
      <c r="H107" s="353">
        <v>1520</v>
      </c>
      <c r="I107" s="9" t="s">
        <v>245</v>
      </c>
      <c r="J107" s="10" t="s">
        <v>73</v>
      </c>
      <c r="K107" s="3">
        <v>4</v>
      </c>
      <c r="L107" s="3">
        <v>36</v>
      </c>
      <c r="M107" s="45"/>
      <c r="N107" s="3" t="s">
        <v>186</v>
      </c>
      <c r="O107" s="11" t="s">
        <v>186</v>
      </c>
      <c r="P107" s="3" t="s">
        <v>187</v>
      </c>
      <c r="Q107" s="3" t="s">
        <v>187</v>
      </c>
      <c r="R107" s="11" t="s">
        <v>194</v>
      </c>
      <c r="S107" s="3" t="s">
        <v>188</v>
      </c>
      <c r="T107" s="12" t="s">
        <v>517</v>
      </c>
      <c r="U107" s="12"/>
      <c r="V107" s="12" t="s">
        <v>222</v>
      </c>
      <c r="W107" s="12" t="s">
        <v>44</v>
      </c>
      <c r="X107" s="8" t="s">
        <v>54</v>
      </c>
      <c r="Y107" s="13" t="s">
        <v>69</v>
      </c>
      <c r="Z107" s="25" t="s">
        <v>182</v>
      </c>
      <c r="AA107" s="10" t="s">
        <v>422</v>
      </c>
      <c r="AB107" s="110" t="s">
        <v>37</v>
      </c>
      <c r="AC107" s="7">
        <f>156854000-5000000-40000000-40000000-5000000-10700000-3000000-1000000-5800000-5000000-3500000</f>
        <v>37854000</v>
      </c>
      <c r="AD107" s="33"/>
      <c r="AE107" s="7">
        <f>AC107+AD107</f>
        <v>37854000</v>
      </c>
      <c r="AF107" s="33">
        <v>20000000</v>
      </c>
      <c r="AG107" s="7">
        <f t="shared" ref="AG107:AG205" si="150">AE107+AF107</f>
        <v>57854000</v>
      </c>
      <c r="AH107" s="33"/>
      <c r="AI107" s="7">
        <f t="shared" ref="AI107:AI205" si="151">+AG107+AH107</f>
        <v>57854000</v>
      </c>
      <c r="AJ107" s="409"/>
      <c r="AK107" s="7">
        <f>171757892-1000000+5750000</f>
        <v>176507892</v>
      </c>
      <c r="AL107" s="33">
        <f>-54507892-50000000-20000000-1000000-40000000-1000000-1000000-3000000-5000000</f>
        <v>-175507892</v>
      </c>
      <c r="AM107" s="33">
        <f t="shared" si="143"/>
        <v>1000000</v>
      </c>
      <c r="AN107" s="33">
        <v>76820</v>
      </c>
      <c r="AO107" s="33">
        <v>0</v>
      </c>
      <c r="AP107" s="7">
        <f t="shared" si="132"/>
        <v>76820</v>
      </c>
      <c r="AQ107" s="33">
        <v>555847.54</v>
      </c>
      <c r="AR107" s="33">
        <v>74348.55</v>
      </c>
      <c r="AS107" s="7">
        <f t="shared" si="148"/>
        <v>630196.09000000008</v>
      </c>
      <c r="AT107" s="33">
        <v>-138617.26</v>
      </c>
      <c r="AU107" s="33">
        <v>0</v>
      </c>
      <c r="AV107" s="7">
        <f t="shared" si="149"/>
        <v>-138617.26</v>
      </c>
      <c r="AW107" s="33"/>
      <c r="AX107" s="33"/>
      <c r="AY107" s="7">
        <f t="shared" si="107"/>
        <v>0</v>
      </c>
      <c r="AZ107" s="33"/>
      <c r="BA107" s="33"/>
      <c r="BB107" s="7">
        <f t="shared" si="135"/>
        <v>0</v>
      </c>
      <c r="BC107" s="33"/>
      <c r="BD107" s="33"/>
      <c r="BE107" s="7">
        <f t="shared" si="136"/>
        <v>0</v>
      </c>
      <c r="BF107" s="33"/>
      <c r="BG107" s="33"/>
      <c r="BH107" s="7">
        <f t="shared" si="137"/>
        <v>0</v>
      </c>
      <c r="BI107" s="33"/>
      <c r="BJ107" s="33"/>
      <c r="BK107" s="7">
        <f t="shared" si="138"/>
        <v>0</v>
      </c>
      <c r="BL107" s="33"/>
      <c r="BM107" s="33"/>
      <c r="BN107" s="7">
        <f t="shared" si="139"/>
        <v>0</v>
      </c>
      <c r="BO107" s="33"/>
      <c r="BP107" s="33"/>
      <c r="BQ107" s="7">
        <f t="shared" si="140"/>
        <v>0</v>
      </c>
      <c r="BR107" s="33"/>
      <c r="BS107" s="33"/>
      <c r="BT107" s="7">
        <f t="shared" si="141"/>
        <v>0</v>
      </c>
      <c r="BU107" s="33"/>
      <c r="BV107" s="33"/>
      <c r="BW107" s="7">
        <f t="shared" si="142"/>
        <v>0</v>
      </c>
      <c r="BX107" s="33"/>
      <c r="BY107" s="7">
        <f t="shared" si="109"/>
        <v>494050.28</v>
      </c>
      <c r="BZ107" s="7">
        <f t="shared" si="110"/>
        <v>568398.83000000007</v>
      </c>
      <c r="CA107" s="33"/>
      <c r="CB107" s="7">
        <f t="shared" si="111"/>
        <v>505949.72</v>
      </c>
      <c r="CC107" s="7">
        <f t="shared" si="112"/>
        <v>431601.16999999993</v>
      </c>
      <c r="CD107" s="15">
        <f t="shared" si="113"/>
        <v>0.49405028000000001</v>
      </c>
      <c r="CE107" s="15">
        <f t="shared" si="114"/>
        <v>0.56839883000000002</v>
      </c>
      <c r="CF107" s="450" t="s">
        <v>876</v>
      </c>
      <c r="CG107" s="33">
        <f>197000000-7000000</f>
        <v>190000000</v>
      </c>
      <c r="CH107" s="33">
        <f>197000000-100000000</f>
        <v>97000000</v>
      </c>
      <c r="CI107" s="33"/>
      <c r="CJ107" s="33"/>
      <c r="CK107" s="33"/>
      <c r="CL107" s="7">
        <f t="shared" si="115"/>
        <v>0</v>
      </c>
      <c r="CM107" s="33">
        <v>3961956.8</v>
      </c>
      <c r="CN107" s="7">
        <f>CM107+554673.95</f>
        <v>4516630.75</v>
      </c>
      <c r="CO107" s="33">
        <v>7810659.8499999996</v>
      </c>
      <c r="CP107" s="33">
        <v>1250665.1100000001</v>
      </c>
      <c r="CQ107" s="7">
        <f>CO107+CP107</f>
        <v>9061324.959999999</v>
      </c>
      <c r="CR107" s="7">
        <f t="shared" si="117"/>
        <v>11772616.649999999</v>
      </c>
      <c r="CS107" s="7">
        <f t="shared" si="118"/>
        <v>13577955.709999999</v>
      </c>
      <c r="CT107" s="33">
        <v>8848276.7799999993</v>
      </c>
      <c r="CU107" s="33">
        <v>1132017.03</v>
      </c>
      <c r="CV107" s="7">
        <f t="shared" si="119"/>
        <v>9980293.8099999987</v>
      </c>
      <c r="CW107" s="33">
        <v>9756441.2899999991</v>
      </c>
      <c r="CX107" s="33">
        <v>1265741.02</v>
      </c>
      <c r="CY107" s="7">
        <f>CW107+CX107</f>
        <v>11022182.309999999</v>
      </c>
      <c r="CZ107" s="33">
        <v>16134838.1</v>
      </c>
      <c r="DA107" s="33">
        <v>1207170.73</v>
      </c>
      <c r="DB107" s="7">
        <f>CZ107+DA107</f>
        <v>17342008.829999998</v>
      </c>
      <c r="DC107" s="33"/>
      <c r="DD107" s="7">
        <f t="shared" si="122"/>
        <v>0</v>
      </c>
      <c r="DE107" s="33"/>
      <c r="DF107" s="7">
        <f t="shared" si="123"/>
        <v>0</v>
      </c>
      <c r="DG107" s="33"/>
      <c r="DH107" s="7">
        <f t="shared" si="124"/>
        <v>0</v>
      </c>
      <c r="DI107" s="33"/>
      <c r="DJ107" s="7">
        <f t="shared" si="125"/>
        <v>0</v>
      </c>
      <c r="DK107" s="33"/>
      <c r="DL107" s="7">
        <f t="shared" si="126"/>
        <v>0</v>
      </c>
      <c r="DM107" s="33"/>
      <c r="DN107" s="7">
        <f t="shared" si="127"/>
        <v>0</v>
      </c>
      <c r="DO107" s="33"/>
      <c r="DP107" s="14">
        <f t="shared" ref="DP107:DP140" si="152">CK107+CM107+CO107+CT107+CW107+CZ107+DC107+DE107+DG107+DI107+DK107+DM107</f>
        <v>46512172.82</v>
      </c>
      <c r="DQ107" s="14">
        <f>CL107+CN107+CQ107+CV107+CY107+DB107</f>
        <v>51922440.659999996</v>
      </c>
      <c r="DR107" s="7">
        <v>625034.64</v>
      </c>
      <c r="DS107" s="7">
        <f>AG107-DP107</f>
        <v>11341827.18</v>
      </c>
      <c r="DT107" s="7">
        <f>AG107-DQ107</f>
        <v>5931559.3400000036</v>
      </c>
      <c r="DU107" s="15">
        <f>DP107/AG107</f>
        <v>0.80395776990355028</v>
      </c>
      <c r="DV107" s="15">
        <f>DQ107/AG107</f>
        <v>0.897473651951464</v>
      </c>
      <c r="DW107" s="7">
        <v>120000000</v>
      </c>
      <c r="DX107" s="7"/>
      <c r="DY107" s="7"/>
      <c r="DZ107" s="27"/>
      <c r="EA107" s="319"/>
    </row>
    <row r="108" spans="1:131" s="10" customFormat="1" x14ac:dyDescent="0.25">
      <c r="A108" s="10" t="s">
        <v>82</v>
      </c>
      <c r="B108" s="24"/>
      <c r="C108" s="8" t="s">
        <v>230</v>
      </c>
      <c r="D108" s="12" t="s">
        <v>73</v>
      </c>
      <c r="E108" s="3">
        <v>515010</v>
      </c>
      <c r="F108" s="353">
        <v>4</v>
      </c>
      <c r="G108" s="359">
        <v>36</v>
      </c>
      <c r="H108" s="353">
        <v>1552</v>
      </c>
      <c r="I108" s="9" t="s">
        <v>245</v>
      </c>
      <c r="J108" s="10" t="s">
        <v>73</v>
      </c>
      <c r="K108" s="3"/>
      <c r="L108" s="3"/>
      <c r="M108" s="45"/>
      <c r="N108" s="3" t="s">
        <v>186</v>
      </c>
      <c r="O108" s="11" t="s">
        <v>186</v>
      </c>
      <c r="P108" s="3" t="s">
        <v>187</v>
      </c>
      <c r="Q108" s="3" t="s">
        <v>187</v>
      </c>
      <c r="R108" s="11" t="s">
        <v>194</v>
      </c>
      <c r="S108" s="3" t="s">
        <v>188</v>
      </c>
      <c r="T108" s="12" t="s">
        <v>517</v>
      </c>
      <c r="U108" s="12"/>
      <c r="V108" s="12" t="s">
        <v>222</v>
      </c>
      <c r="W108" s="12" t="s">
        <v>44</v>
      </c>
      <c r="X108" s="8" t="s">
        <v>54</v>
      </c>
      <c r="Y108" s="13" t="s">
        <v>69</v>
      </c>
      <c r="Z108" s="25" t="s">
        <v>182</v>
      </c>
      <c r="AA108" s="10" t="s">
        <v>856</v>
      </c>
      <c r="AB108" s="110" t="s">
        <v>37</v>
      </c>
      <c r="AC108" s="7"/>
      <c r="AD108" s="33"/>
      <c r="AE108" s="7"/>
      <c r="AF108" s="33"/>
      <c r="AG108" s="7"/>
      <c r="AH108" s="33"/>
      <c r="AI108" s="7"/>
      <c r="AJ108" s="409"/>
      <c r="AK108" s="7"/>
      <c r="AL108" s="33">
        <v>54507892</v>
      </c>
      <c r="AM108" s="33">
        <f>AK108+AL108-10000000-11200000-10000000-450000</f>
        <v>22857892</v>
      </c>
      <c r="AN108" s="33"/>
      <c r="AO108" s="33"/>
      <c r="AP108" s="7">
        <f t="shared" si="132"/>
        <v>0</v>
      </c>
      <c r="AQ108" s="33"/>
      <c r="AR108" s="33"/>
      <c r="AS108" s="7">
        <f t="shared" si="148"/>
        <v>0</v>
      </c>
      <c r="AT108" s="33">
        <v>543944.88</v>
      </c>
      <c r="AU108" s="33">
        <v>76152.28</v>
      </c>
      <c r="AV108" s="7">
        <f t="shared" si="149"/>
        <v>620097.16</v>
      </c>
      <c r="AW108" s="33"/>
      <c r="AX108" s="33"/>
      <c r="AY108" s="7">
        <f t="shared" si="107"/>
        <v>0</v>
      </c>
      <c r="AZ108" s="33"/>
      <c r="BA108" s="33"/>
      <c r="BB108" s="7"/>
      <c r="BC108" s="33"/>
      <c r="BD108" s="33"/>
      <c r="BE108" s="7"/>
      <c r="BF108" s="33"/>
      <c r="BG108" s="33"/>
      <c r="BH108" s="7"/>
      <c r="BI108" s="33"/>
      <c r="BJ108" s="33"/>
      <c r="BK108" s="7"/>
      <c r="BL108" s="33"/>
      <c r="BM108" s="33"/>
      <c r="BN108" s="7"/>
      <c r="BO108" s="33"/>
      <c r="BP108" s="33"/>
      <c r="BQ108" s="7"/>
      <c r="BR108" s="33"/>
      <c r="BS108" s="33"/>
      <c r="BT108" s="7"/>
      <c r="BU108" s="33"/>
      <c r="BV108" s="33"/>
      <c r="BW108" s="7"/>
      <c r="BX108" s="33"/>
      <c r="BY108" s="7">
        <f t="shared" si="109"/>
        <v>543944.88</v>
      </c>
      <c r="BZ108" s="7">
        <f t="shared" si="110"/>
        <v>620097.16</v>
      </c>
      <c r="CA108" s="33"/>
      <c r="CB108" s="7">
        <f t="shared" si="111"/>
        <v>22313947.120000001</v>
      </c>
      <c r="CC108" s="7">
        <f t="shared" si="112"/>
        <v>22237794.84</v>
      </c>
      <c r="CD108" s="15">
        <f t="shared" si="113"/>
        <v>2.379680855959946E-2</v>
      </c>
      <c r="CE108" s="15">
        <f t="shared" si="114"/>
        <v>2.7128361617947974E-2</v>
      </c>
      <c r="CF108" s="27" t="s">
        <v>877</v>
      </c>
      <c r="CG108" s="33"/>
      <c r="CH108" s="33"/>
      <c r="CI108" s="33"/>
      <c r="CJ108" s="33"/>
      <c r="CK108" s="33"/>
      <c r="CL108" s="7"/>
      <c r="CM108" s="33"/>
      <c r="CN108" s="7"/>
      <c r="CO108" s="33"/>
      <c r="CP108" s="33"/>
      <c r="CQ108" s="7"/>
      <c r="CR108" s="7"/>
      <c r="CS108" s="7"/>
      <c r="CT108" s="33"/>
      <c r="CU108" s="33"/>
      <c r="CV108" s="7"/>
      <c r="CW108" s="33"/>
      <c r="CX108" s="33"/>
      <c r="CY108" s="7"/>
      <c r="CZ108" s="33"/>
      <c r="DA108" s="33"/>
      <c r="DB108" s="7"/>
      <c r="DC108" s="33"/>
      <c r="DD108" s="7"/>
      <c r="DE108" s="33"/>
      <c r="DF108" s="7"/>
      <c r="DG108" s="33"/>
      <c r="DH108" s="7"/>
      <c r="DI108" s="33"/>
      <c r="DJ108" s="7"/>
      <c r="DK108" s="33"/>
      <c r="DL108" s="7"/>
      <c r="DM108" s="33"/>
      <c r="DN108" s="7"/>
      <c r="DO108" s="33"/>
      <c r="DP108" s="14"/>
      <c r="DQ108" s="14"/>
      <c r="DR108" s="7"/>
      <c r="DS108" s="7"/>
      <c r="DT108" s="7"/>
      <c r="DU108" s="15"/>
      <c r="DV108" s="15"/>
      <c r="DW108" s="7"/>
      <c r="DX108" s="7"/>
      <c r="DY108" s="7"/>
      <c r="DZ108" s="27"/>
      <c r="EA108" s="319"/>
    </row>
    <row r="109" spans="1:131" s="10" customFormat="1" x14ac:dyDescent="0.25">
      <c r="A109" s="10" t="s">
        <v>82</v>
      </c>
      <c r="B109" s="24"/>
      <c r="C109" s="8" t="s">
        <v>230</v>
      </c>
      <c r="D109" s="12" t="s">
        <v>73</v>
      </c>
      <c r="E109" s="3">
        <v>515010</v>
      </c>
      <c r="F109" s="353">
        <v>4</v>
      </c>
      <c r="G109" s="359">
        <v>36</v>
      </c>
      <c r="H109" s="353">
        <v>1553</v>
      </c>
      <c r="I109" s="9" t="s">
        <v>245</v>
      </c>
      <c r="J109" s="10" t="s">
        <v>73</v>
      </c>
      <c r="K109" s="3"/>
      <c r="L109" s="3"/>
      <c r="M109" s="45"/>
      <c r="N109" s="3" t="s">
        <v>186</v>
      </c>
      <c r="O109" s="11" t="s">
        <v>186</v>
      </c>
      <c r="P109" s="3" t="s">
        <v>187</v>
      </c>
      <c r="Q109" s="3" t="s">
        <v>187</v>
      </c>
      <c r="R109" s="11" t="s">
        <v>194</v>
      </c>
      <c r="S109" s="3" t="s">
        <v>188</v>
      </c>
      <c r="T109" s="12" t="s">
        <v>517</v>
      </c>
      <c r="U109" s="12"/>
      <c r="V109" s="12" t="s">
        <v>222</v>
      </c>
      <c r="W109" s="12" t="s">
        <v>44</v>
      </c>
      <c r="X109" s="8" t="s">
        <v>54</v>
      </c>
      <c r="Y109" s="13" t="s">
        <v>69</v>
      </c>
      <c r="Z109" s="25" t="s">
        <v>182</v>
      </c>
      <c r="AA109" s="10" t="s">
        <v>746</v>
      </c>
      <c r="AB109" s="110" t="s">
        <v>37</v>
      </c>
      <c r="AC109" s="7"/>
      <c r="AD109" s="33"/>
      <c r="AE109" s="7"/>
      <c r="AF109" s="33"/>
      <c r="AG109" s="7"/>
      <c r="AH109" s="33"/>
      <c r="AI109" s="7"/>
      <c r="AJ109" s="409"/>
      <c r="AK109" s="7"/>
      <c r="AL109" s="33">
        <v>50000000</v>
      </c>
      <c r="AM109" s="33">
        <f t="shared" si="143"/>
        <v>50000000</v>
      </c>
      <c r="AN109" s="33"/>
      <c r="AO109" s="33"/>
      <c r="AP109" s="7">
        <f t="shared" si="132"/>
        <v>0</v>
      </c>
      <c r="AQ109" s="33">
        <v>2978423.71</v>
      </c>
      <c r="AR109" s="33">
        <v>372528.8</v>
      </c>
      <c r="AS109" s="7">
        <f t="shared" si="148"/>
        <v>3350952.51</v>
      </c>
      <c r="AT109" s="33">
        <v>3869608.52</v>
      </c>
      <c r="AU109" s="33">
        <v>481925.25</v>
      </c>
      <c r="AV109" s="7">
        <f t="shared" si="149"/>
        <v>4351533.7699999996</v>
      </c>
      <c r="AW109" s="33">
        <v>2840418.79</v>
      </c>
      <c r="AX109" s="33">
        <v>364233.26</v>
      </c>
      <c r="AY109" s="7">
        <f t="shared" si="107"/>
        <v>3204652.05</v>
      </c>
      <c r="AZ109" s="33"/>
      <c r="BA109" s="33"/>
      <c r="BB109" s="7"/>
      <c r="BC109" s="33"/>
      <c r="BD109" s="33"/>
      <c r="BE109" s="7"/>
      <c r="BF109" s="33"/>
      <c r="BG109" s="33"/>
      <c r="BH109" s="7"/>
      <c r="BI109" s="33"/>
      <c r="BJ109" s="33"/>
      <c r="BK109" s="7"/>
      <c r="BL109" s="33"/>
      <c r="BM109" s="33"/>
      <c r="BN109" s="7"/>
      <c r="BO109" s="33"/>
      <c r="BP109" s="33"/>
      <c r="BQ109" s="7"/>
      <c r="BR109" s="33"/>
      <c r="BS109" s="33"/>
      <c r="BT109" s="7"/>
      <c r="BU109" s="33"/>
      <c r="BV109" s="33"/>
      <c r="BW109" s="7"/>
      <c r="BX109" s="33"/>
      <c r="BY109" s="7">
        <f t="shared" si="109"/>
        <v>9688451.0199999996</v>
      </c>
      <c r="BZ109" s="7">
        <f t="shared" si="110"/>
        <v>10907138.329999998</v>
      </c>
      <c r="CA109" s="33"/>
      <c r="CB109" s="7">
        <f t="shared" si="111"/>
        <v>40311548.980000004</v>
      </c>
      <c r="CC109" s="7">
        <f t="shared" si="112"/>
        <v>39092861.670000002</v>
      </c>
      <c r="CD109" s="15">
        <f t="shared" si="113"/>
        <v>0.19376902039999999</v>
      </c>
      <c r="CE109" s="15">
        <f t="shared" si="114"/>
        <v>0.21814276659999995</v>
      </c>
      <c r="CF109" s="27" t="s">
        <v>878</v>
      </c>
      <c r="CG109" s="33"/>
      <c r="CH109" s="33"/>
      <c r="CI109" s="33"/>
      <c r="CJ109" s="33"/>
      <c r="CK109" s="33"/>
      <c r="CL109" s="7"/>
      <c r="CM109" s="33"/>
      <c r="CN109" s="7"/>
      <c r="CO109" s="33"/>
      <c r="CP109" s="33"/>
      <c r="CQ109" s="7"/>
      <c r="CR109" s="7"/>
      <c r="CS109" s="7"/>
      <c r="CT109" s="33"/>
      <c r="CU109" s="33"/>
      <c r="CV109" s="7"/>
      <c r="CW109" s="33"/>
      <c r="CX109" s="33"/>
      <c r="CY109" s="7"/>
      <c r="CZ109" s="33"/>
      <c r="DA109" s="33"/>
      <c r="DB109" s="7"/>
      <c r="DC109" s="33"/>
      <c r="DD109" s="7"/>
      <c r="DE109" s="33"/>
      <c r="DF109" s="7"/>
      <c r="DG109" s="33"/>
      <c r="DH109" s="7"/>
      <c r="DI109" s="33"/>
      <c r="DJ109" s="7"/>
      <c r="DK109" s="33"/>
      <c r="DL109" s="7"/>
      <c r="DM109" s="33"/>
      <c r="DN109" s="7"/>
      <c r="DO109" s="33"/>
      <c r="DP109" s="14"/>
      <c r="DQ109" s="14"/>
      <c r="DR109" s="7"/>
      <c r="DS109" s="7"/>
      <c r="DT109" s="7"/>
      <c r="DU109" s="15"/>
      <c r="DV109" s="15"/>
      <c r="DW109" s="7"/>
      <c r="DX109" s="7"/>
      <c r="DY109" s="7"/>
      <c r="DZ109" s="27"/>
      <c r="EA109" s="319"/>
    </row>
    <row r="110" spans="1:131" s="10" customFormat="1" x14ac:dyDescent="0.25">
      <c r="A110" s="10" t="s">
        <v>82</v>
      </c>
      <c r="B110" s="24"/>
      <c r="C110" s="8" t="s">
        <v>230</v>
      </c>
      <c r="D110" s="12" t="s">
        <v>73</v>
      </c>
      <c r="E110" s="3">
        <v>515010</v>
      </c>
      <c r="F110" s="353">
        <v>4</v>
      </c>
      <c r="G110" s="359">
        <v>36</v>
      </c>
      <c r="H110" s="353">
        <v>1554</v>
      </c>
      <c r="I110" s="9" t="s">
        <v>245</v>
      </c>
      <c r="J110" s="10" t="s">
        <v>73</v>
      </c>
      <c r="K110" s="3"/>
      <c r="L110" s="3"/>
      <c r="M110" s="45"/>
      <c r="N110" s="3" t="s">
        <v>186</v>
      </c>
      <c r="O110" s="11" t="s">
        <v>186</v>
      </c>
      <c r="P110" s="3" t="s">
        <v>187</v>
      </c>
      <c r="Q110" s="3" t="s">
        <v>187</v>
      </c>
      <c r="R110" s="11" t="s">
        <v>194</v>
      </c>
      <c r="S110" s="3" t="s">
        <v>188</v>
      </c>
      <c r="T110" s="12" t="s">
        <v>517</v>
      </c>
      <c r="U110" s="12"/>
      <c r="V110" s="12" t="s">
        <v>222</v>
      </c>
      <c r="W110" s="12" t="s">
        <v>44</v>
      </c>
      <c r="X110" s="8" t="s">
        <v>54</v>
      </c>
      <c r="Y110" s="13" t="s">
        <v>69</v>
      </c>
      <c r="Z110" s="25" t="s">
        <v>182</v>
      </c>
      <c r="AA110" s="10" t="s">
        <v>857</v>
      </c>
      <c r="AB110" s="110" t="s">
        <v>37</v>
      </c>
      <c r="AC110" s="7"/>
      <c r="AD110" s="33"/>
      <c r="AE110" s="7"/>
      <c r="AF110" s="33"/>
      <c r="AG110" s="7"/>
      <c r="AH110" s="33"/>
      <c r="AI110" s="7"/>
      <c r="AJ110" s="409"/>
      <c r="AK110" s="7"/>
      <c r="AL110" s="33">
        <v>20000000</v>
      </c>
      <c r="AM110" s="33">
        <f t="shared" si="143"/>
        <v>20000000</v>
      </c>
      <c r="AN110" s="33"/>
      <c r="AO110" s="33"/>
      <c r="AP110" s="7">
        <f t="shared" si="132"/>
        <v>0</v>
      </c>
      <c r="AQ110" s="33">
        <v>5202755.74</v>
      </c>
      <c r="AR110" s="33">
        <v>663036.59</v>
      </c>
      <c r="AS110" s="7">
        <f t="shared" si="148"/>
        <v>5865792.3300000001</v>
      </c>
      <c r="AT110" s="33">
        <v>-2086248.95</v>
      </c>
      <c r="AU110" s="33">
        <v>414183.12</v>
      </c>
      <c r="AV110" s="7">
        <f t="shared" si="149"/>
        <v>-1672065.83</v>
      </c>
      <c r="AW110" s="33">
        <v>1281854.55</v>
      </c>
      <c r="AX110" s="33">
        <v>179459.64</v>
      </c>
      <c r="AY110" s="7">
        <f t="shared" si="107"/>
        <v>1461314.19</v>
      </c>
      <c r="AZ110" s="33"/>
      <c r="BA110" s="33"/>
      <c r="BB110" s="7"/>
      <c r="BC110" s="33"/>
      <c r="BD110" s="33"/>
      <c r="BE110" s="7"/>
      <c r="BF110" s="33"/>
      <c r="BG110" s="33"/>
      <c r="BH110" s="7"/>
      <c r="BI110" s="33"/>
      <c r="BJ110" s="33"/>
      <c r="BK110" s="7"/>
      <c r="BL110" s="33"/>
      <c r="BM110" s="33"/>
      <c r="BN110" s="7"/>
      <c r="BO110" s="33"/>
      <c r="BP110" s="33"/>
      <c r="BQ110" s="7"/>
      <c r="BR110" s="33"/>
      <c r="BS110" s="33"/>
      <c r="BT110" s="7"/>
      <c r="BU110" s="33"/>
      <c r="BV110" s="33"/>
      <c r="BW110" s="7"/>
      <c r="BX110" s="33"/>
      <c r="BY110" s="7">
        <f t="shared" si="109"/>
        <v>4398361.34</v>
      </c>
      <c r="BZ110" s="7">
        <f t="shared" si="110"/>
        <v>5655040.6899999995</v>
      </c>
      <c r="CA110" s="33"/>
      <c r="CB110" s="7">
        <f t="shared" si="111"/>
        <v>15601638.66</v>
      </c>
      <c r="CC110" s="7">
        <f t="shared" si="112"/>
        <v>14344959.310000001</v>
      </c>
      <c r="CD110" s="15">
        <f t="shared" si="113"/>
        <v>0.21991806699999999</v>
      </c>
      <c r="CE110" s="15">
        <f t="shared" si="114"/>
        <v>0.28275203449999997</v>
      </c>
      <c r="CF110" s="450" t="s">
        <v>825</v>
      </c>
      <c r="CG110" s="33"/>
      <c r="CH110" s="33"/>
      <c r="CI110" s="33"/>
      <c r="CJ110" s="33"/>
      <c r="CK110" s="33"/>
      <c r="CL110" s="7"/>
      <c r="CM110" s="33"/>
      <c r="CN110" s="7"/>
      <c r="CO110" s="33"/>
      <c r="CP110" s="33"/>
      <c r="CQ110" s="7"/>
      <c r="CR110" s="7"/>
      <c r="CS110" s="7"/>
      <c r="CT110" s="33"/>
      <c r="CU110" s="33"/>
      <c r="CV110" s="7"/>
      <c r="CW110" s="33"/>
      <c r="CX110" s="33"/>
      <c r="CY110" s="7"/>
      <c r="CZ110" s="33"/>
      <c r="DA110" s="33"/>
      <c r="DB110" s="7"/>
      <c r="DC110" s="33"/>
      <c r="DD110" s="7"/>
      <c r="DE110" s="33"/>
      <c r="DF110" s="7"/>
      <c r="DG110" s="33"/>
      <c r="DH110" s="7"/>
      <c r="DI110" s="33"/>
      <c r="DJ110" s="7"/>
      <c r="DK110" s="33"/>
      <c r="DL110" s="7"/>
      <c r="DM110" s="33"/>
      <c r="DN110" s="7"/>
      <c r="DO110" s="33"/>
      <c r="DP110" s="14"/>
      <c r="DQ110" s="14"/>
      <c r="DR110" s="7"/>
      <c r="DS110" s="7"/>
      <c r="DT110" s="7"/>
      <c r="DU110" s="15"/>
      <c r="DV110" s="15"/>
      <c r="DW110" s="7"/>
      <c r="DX110" s="7"/>
      <c r="DY110" s="7"/>
      <c r="DZ110" s="27"/>
      <c r="EA110" s="319"/>
    </row>
    <row r="111" spans="1:131" s="10" customFormat="1" x14ac:dyDescent="0.25">
      <c r="A111" s="10" t="s">
        <v>82</v>
      </c>
      <c r="B111" s="24"/>
      <c r="C111" s="8" t="s">
        <v>230</v>
      </c>
      <c r="D111" s="12" t="s">
        <v>73</v>
      </c>
      <c r="E111" s="3">
        <v>515010</v>
      </c>
      <c r="F111" s="353">
        <v>4</v>
      </c>
      <c r="G111" s="359">
        <v>36</v>
      </c>
      <c r="H111" s="353">
        <v>1555</v>
      </c>
      <c r="I111" s="9" t="s">
        <v>245</v>
      </c>
      <c r="J111" s="10" t="s">
        <v>73</v>
      </c>
      <c r="K111" s="3"/>
      <c r="L111" s="3"/>
      <c r="M111" s="45"/>
      <c r="N111" s="3" t="s">
        <v>186</v>
      </c>
      <c r="O111" s="11" t="s">
        <v>186</v>
      </c>
      <c r="P111" s="3" t="s">
        <v>187</v>
      </c>
      <c r="Q111" s="3" t="s">
        <v>187</v>
      </c>
      <c r="R111" s="11" t="s">
        <v>194</v>
      </c>
      <c r="S111" s="3" t="s">
        <v>188</v>
      </c>
      <c r="T111" s="12" t="s">
        <v>517</v>
      </c>
      <c r="U111" s="12"/>
      <c r="V111" s="12" t="s">
        <v>222</v>
      </c>
      <c r="W111" s="12" t="s">
        <v>44</v>
      </c>
      <c r="X111" s="8" t="s">
        <v>54</v>
      </c>
      <c r="Y111" s="13" t="s">
        <v>69</v>
      </c>
      <c r="Z111" s="25" t="s">
        <v>182</v>
      </c>
      <c r="AA111" s="10" t="s">
        <v>747</v>
      </c>
      <c r="AB111" s="110" t="s">
        <v>37</v>
      </c>
      <c r="AC111" s="7"/>
      <c r="AD111" s="33"/>
      <c r="AE111" s="7"/>
      <c r="AF111" s="33"/>
      <c r="AG111" s="7"/>
      <c r="AH111" s="33"/>
      <c r="AI111" s="7"/>
      <c r="AJ111" s="409"/>
      <c r="AK111" s="7"/>
      <c r="AL111" s="33">
        <v>1000000</v>
      </c>
      <c r="AM111" s="33">
        <f>AK111+AL111+17458</f>
        <v>1017458</v>
      </c>
      <c r="AN111" s="33"/>
      <c r="AO111" s="33"/>
      <c r="AP111" s="7">
        <f t="shared" si="132"/>
        <v>0</v>
      </c>
      <c r="AQ111" s="33"/>
      <c r="AR111" s="33"/>
      <c r="AS111" s="7">
        <f t="shared" si="148"/>
        <v>0</v>
      </c>
      <c r="AT111" s="33">
        <v>439435.42</v>
      </c>
      <c r="AU111" s="33">
        <v>61520.959999999999</v>
      </c>
      <c r="AV111" s="7">
        <f t="shared" si="149"/>
        <v>500956.38</v>
      </c>
      <c r="AW111" s="33">
        <v>55372.69</v>
      </c>
      <c r="AX111" s="33">
        <v>7752.18</v>
      </c>
      <c r="AY111" s="7">
        <f t="shared" si="107"/>
        <v>63124.87</v>
      </c>
      <c r="AZ111" s="33"/>
      <c r="BA111" s="33"/>
      <c r="BB111" s="7"/>
      <c r="BC111" s="33"/>
      <c r="BD111" s="33"/>
      <c r="BE111" s="7"/>
      <c r="BF111" s="33"/>
      <c r="BG111" s="33"/>
      <c r="BH111" s="7"/>
      <c r="BI111" s="33"/>
      <c r="BJ111" s="33"/>
      <c r="BK111" s="7"/>
      <c r="BL111" s="33"/>
      <c r="BM111" s="33"/>
      <c r="BN111" s="7"/>
      <c r="BO111" s="33"/>
      <c r="BP111" s="33"/>
      <c r="BQ111" s="7"/>
      <c r="BR111" s="33"/>
      <c r="BS111" s="33"/>
      <c r="BT111" s="7"/>
      <c r="BU111" s="33"/>
      <c r="BV111" s="33"/>
      <c r="BW111" s="7"/>
      <c r="BX111" s="33"/>
      <c r="BY111" s="7">
        <f t="shared" si="109"/>
        <v>494808.11</v>
      </c>
      <c r="BZ111" s="7">
        <f t="shared" si="110"/>
        <v>564081.25</v>
      </c>
      <c r="CA111" s="33"/>
      <c r="CB111" s="7">
        <f t="shared" si="111"/>
        <v>522649.89</v>
      </c>
      <c r="CC111" s="7">
        <f t="shared" si="112"/>
        <v>453376.75</v>
      </c>
      <c r="CD111" s="15">
        <f t="shared" si="113"/>
        <v>0.48631797086464501</v>
      </c>
      <c r="CE111" s="15">
        <f t="shared" si="114"/>
        <v>0.55440249130676644</v>
      </c>
      <c r="CF111" s="450" t="s">
        <v>879</v>
      </c>
      <c r="CG111" s="33"/>
      <c r="CH111" s="33"/>
      <c r="CI111" s="33"/>
      <c r="CJ111" s="33"/>
      <c r="CK111" s="33"/>
      <c r="CL111" s="7"/>
      <c r="CM111" s="33"/>
      <c r="CN111" s="7"/>
      <c r="CO111" s="33"/>
      <c r="CP111" s="33"/>
      <c r="CQ111" s="7"/>
      <c r="CR111" s="7"/>
      <c r="CS111" s="7"/>
      <c r="CT111" s="33"/>
      <c r="CU111" s="33"/>
      <c r="CV111" s="7"/>
      <c r="CW111" s="33"/>
      <c r="CX111" s="33"/>
      <c r="CY111" s="7"/>
      <c r="CZ111" s="33"/>
      <c r="DA111" s="33"/>
      <c r="DB111" s="7"/>
      <c r="DC111" s="33"/>
      <c r="DD111" s="7"/>
      <c r="DE111" s="33"/>
      <c r="DF111" s="7"/>
      <c r="DG111" s="33"/>
      <c r="DH111" s="7"/>
      <c r="DI111" s="33"/>
      <c r="DJ111" s="7"/>
      <c r="DK111" s="33"/>
      <c r="DL111" s="7"/>
      <c r="DM111" s="33"/>
      <c r="DN111" s="7"/>
      <c r="DO111" s="33"/>
      <c r="DP111" s="14"/>
      <c r="DQ111" s="14"/>
      <c r="DR111" s="7"/>
      <c r="DS111" s="7"/>
      <c r="DT111" s="7"/>
      <c r="DU111" s="15"/>
      <c r="DV111" s="15"/>
      <c r="DW111" s="7"/>
      <c r="DX111" s="7"/>
      <c r="DY111" s="7"/>
      <c r="DZ111" s="27"/>
      <c r="EA111" s="319"/>
    </row>
    <row r="112" spans="1:131" s="10" customFormat="1" x14ac:dyDescent="0.25">
      <c r="A112" s="10" t="s">
        <v>82</v>
      </c>
      <c r="B112" s="24"/>
      <c r="C112" s="8" t="s">
        <v>230</v>
      </c>
      <c r="D112" s="12" t="s">
        <v>73</v>
      </c>
      <c r="E112" s="3">
        <v>515010</v>
      </c>
      <c r="F112" s="353">
        <v>4</v>
      </c>
      <c r="G112" s="359">
        <v>36</v>
      </c>
      <c r="H112" s="353">
        <v>1556</v>
      </c>
      <c r="I112" s="9" t="s">
        <v>245</v>
      </c>
      <c r="J112" s="10" t="s">
        <v>73</v>
      </c>
      <c r="K112" s="3"/>
      <c r="L112" s="3"/>
      <c r="M112" s="45"/>
      <c r="N112" s="3" t="s">
        <v>186</v>
      </c>
      <c r="O112" s="11" t="s">
        <v>186</v>
      </c>
      <c r="P112" s="3" t="s">
        <v>187</v>
      </c>
      <c r="Q112" s="3" t="s">
        <v>187</v>
      </c>
      <c r="R112" s="11" t="s">
        <v>194</v>
      </c>
      <c r="S112" s="3" t="s">
        <v>188</v>
      </c>
      <c r="T112" s="12" t="s">
        <v>517</v>
      </c>
      <c r="U112" s="12"/>
      <c r="V112" s="12" t="s">
        <v>222</v>
      </c>
      <c r="W112" s="12" t="s">
        <v>44</v>
      </c>
      <c r="X112" s="8" t="s">
        <v>54</v>
      </c>
      <c r="Y112" s="13" t="s">
        <v>69</v>
      </c>
      <c r="Z112" s="25" t="s">
        <v>182</v>
      </c>
      <c r="AA112" s="10" t="s">
        <v>858</v>
      </c>
      <c r="AB112" s="110" t="s">
        <v>37</v>
      </c>
      <c r="AC112" s="7"/>
      <c r="AD112" s="33"/>
      <c r="AE112" s="7"/>
      <c r="AF112" s="33"/>
      <c r="AG112" s="7"/>
      <c r="AH112" s="33"/>
      <c r="AI112" s="7"/>
      <c r="AJ112" s="409"/>
      <c r="AK112" s="7"/>
      <c r="AL112" s="33">
        <v>40000000</v>
      </c>
      <c r="AM112" s="33">
        <f t="shared" si="143"/>
        <v>40000000</v>
      </c>
      <c r="AN112" s="33"/>
      <c r="AO112" s="33"/>
      <c r="AP112" s="7">
        <f t="shared" si="132"/>
        <v>0</v>
      </c>
      <c r="AQ112" s="33">
        <v>940264.83</v>
      </c>
      <c r="AR112" s="33">
        <v>153505.26</v>
      </c>
      <c r="AS112" s="7">
        <f t="shared" si="148"/>
        <v>1093770.0899999999</v>
      </c>
      <c r="AT112" s="33">
        <v>3422872.13</v>
      </c>
      <c r="AU112" s="33">
        <v>445761.59</v>
      </c>
      <c r="AV112" s="7">
        <f t="shared" si="149"/>
        <v>3868633.7199999997</v>
      </c>
      <c r="AW112" s="33">
        <v>320973.21000000002</v>
      </c>
      <c r="AX112" s="33">
        <v>31374.86</v>
      </c>
      <c r="AY112" s="7">
        <f t="shared" si="107"/>
        <v>352348.07</v>
      </c>
      <c r="AZ112" s="33"/>
      <c r="BA112" s="33"/>
      <c r="BB112" s="7"/>
      <c r="BC112" s="33"/>
      <c r="BD112" s="33"/>
      <c r="BE112" s="7"/>
      <c r="BF112" s="33"/>
      <c r="BG112" s="33"/>
      <c r="BH112" s="7"/>
      <c r="BI112" s="33"/>
      <c r="BJ112" s="33"/>
      <c r="BK112" s="7"/>
      <c r="BL112" s="33"/>
      <c r="BM112" s="33"/>
      <c r="BN112" s="7"/>
      <c r="BO112" s="33"/>
      <c r="BP112" s="33"/>
      <c r="BQ112" s="7"/>
      <c r="BR112" s="33"/>
      <c r="BS112" s="33"/>
      <c r="BT112" s="7"/>
      <c r="BU112" s="33"/>
      <c r="BV112" s="33"/>
      <c r="BW112" s="7"/>
      <c r="BX112" s="33"/>
      <c r="BY112" s="7">
        <f t="shared" si="109"/>
        <v>4684110.17</v>
      </c>
      <c r="BZ112" s="7">
        <f t="shared" si="110"/>
        <v>5314751.88</v>
      </c>
      <c r="CA112" s="33"/>
      <c r="CB112" s="7">
        <f t="shared" si="111"/>
        <v>35315889.829999998</v>
      </c>
      <c r="CC112" s="7">
        <f t="shared" si="112"/>
        <v>34685248.119999997</v>
      </c>
      <c r="CD112" s="15">
        <f t="shared" si="113"/>
        <v>0.11710275425</v>
      </c>
      <c r="CE112" s="15">
        <f t="shared" si="114"/>
        <v>0.13286879700000001</v>
      </c>
      <c r="CF112" s="450" t="s">
        <v>880</v>
      </c>
      <c r="CG112" s="33"/>
      <c r="CH112" s="33"/>
      <c r="CI112" s="33"/>
      <c r="CJ112" s="33"/>
      <c r="CK112" s="33"/>
      <c r="CL112" s="7"/>
      <c r="CM112" s="33"/>
      <c r="CN112" s="7"/>
      <c r="CO112" s="33"/>
      <c r="CP112" s="33"/>
      <c r="CQ112" s="7"/>
      <c r="CR112" s="7"/>
      <c r="CS112" s="7"/>
      <c r="CT112" s="33"/>
      <c r="CU112" s="33"/>
      <c r="CV112" s="7"/>
      <c r="CW112" s="33"/>
      <c r="CX112" s="33"/>
      <c r="CY112" s="7"/>
      <c r="CZ112" s="33"/>
      <c r="DA112" s="33"/>
      <c r="DB112" s="7"/>
      <c r="DC112" s="33"/>
      <c r="DD112" s="7"/>
      <c r="DE112" s="33"/>
      <c r="DF112" s="7"/>
      <c r="DG112" s="33"/>
      <c r="DH112" s="7"/>
      <c r="DI112" s="33"/>
      <c r="DJ112" s="7"/>
      <c r="DK112" s="33"/>
      <c r="DL112" s="7"/>
      <c r="DM112" s="33"/>
      <c r="DN112" s="7"/>
      <c r="DO112" s="33"/>
      <c r="DP112" s="14"/>
      <c r="DQ112" s="14"/>
      <c r="DR112" s="7"/>
      <c r="DS112" s="7"/>
      <c r="DT112" s="7"/>
      <c r="DU112" s="15"/>
      <c r="DV112" s="15"/>
      <c r="DW112" s="7"/>
      <c r="DX112" s="7"/>
      <c r="DY112" s="7"/>
      <c r="DZ112" s="27"/>
      <c r="EA112" s="319"/>
    </row>
    <row r="113" spans="1:131" s="10" customFormat="1" x14ac:dyDescent="0.25">
      <c r="A113" s="10" t="s">
        <v>82</v>
      </c>
      <c r="B113" s="24"/>
      <c r="C113" s="8" t="s">
        <v>230</v>
      </c>
      <c r="D113" s="12" t="s">
        <v>73</v>
      </c>
      <c r="E113" s="3">
        <v>515010</v>
      </c>
      <c r="F113" s="353">
        <v>4</v>
      </c>
      <c r="G113" s="359">
        <v>36</v>
      </c>
      <c r="H113" s="353">
        <v>1557</v>
      </c>
      <c r="I113" s="9" t="s">
        <v>245</v>
      </c>
      <c r="J113" s="10" t="s">
        <v>73</v>
      </c>
      <c r="K113" s="3"/>
      <c r="L113" s="3"/>
      <c r="M113" s="45"/>
      <c r="N113" s="3" t="s">
        <v>186</v>
      </c>
      <c r="O113" s="11" t="s">
        <v>186</v>
      </c>
      <c r="P113" s="3" t="s">
        <v>187</v>
      </c>
      <c r="Q113" s="3" t="s">
        <v>187</v>
      </c>
      <c r="R113" s="11" t="s">
        <v>194</v>
      </c>
      <c r="S113" s="3" t="s">
        <v>188</v>
      </c>
      <c r="T113" s="12" t="s">
        <v>517</v>
      </c>
      <c r="U113" s="12"/>
      <c r="V113" s="12" t="s">
        <v>222</v>
      </c>
      <c r="W113" s="12" t="s">
        <v>44</v>
      </c>
      <c r="X113" s="8" t="s">
        <v>54</v>
      </c>
      <c r="Y113" s="13" t="s">
        <v>69</v>
      </c>
      <c r="Z113" s="25" t="s">
        <v>182</v>
      </c>
      <c r="AA113" s="10" t="s">
        <v>748</v>
      </c>
      <c r="AB113" s="110" t="s">
        <v>37</v>
      </c>
      <c r="AC113" s="7"/>
      <c r="AD113" s="33"/>
      <c r="AE113" s="7"/>
      <c r="AF113" s="33"/>
      <c r="AG113" s="7"/>
      <c r="AH113" s="33"/>
      <c r="AI113" s="7"/>
      <c r="AJ113" s="409"/>
      <c r="AK113" s="7"/>
      <c r="AL113" s="33">
        <v>1000000</v>
      </c>
      <c r="AM113" s="33">
        <f>AK113+AL113+56888</f>
        <v>1056888</v>
      </c>
      <c r="AN113" s="33"/>
      <c r="AO113" s="33"/>
      <c r="AP113" s="7">
        <f t="shared" si="132"/>
        <v>0</v>
      </c>
      <c r="AQ113" s="33"/>
      <c r="AR113" s="33"/>
      <c r="AS113" s="7">
        <f t="shared" si="148"/>
        <v>0</v>
      </c>
      <c r="AT113" s="33">
        <v>927094.74</v>
      </c>
      <c r="AU113" s="33">
        <v>129793.26</v>
      </c>
      <c r="AV113" s="7">
        <f t="shared" si="149"/>
        <v>1056888</v>
      </c>
      <c r="AW113" s="33"/>
      <c r="AX113" s="33"/>
      <c r="AY113" s="7">
        <f t="shared" si="107"/>
        <v>0</v>
      </c>
      <c r="AZ113" s="33"/>
      <c r="BA113" s="33"/>
      <c r="BB113" s="7"/>
      <c r="BC113" s="33"/>
      <c r="BD113" s="33"/>
      <c r="BE113" s="7"/>
      <c r="BF113" s="33"/>
      <c r="BG113" s="33"/>
      <c r="BH113" s="7"/>
      <c r="BI113" s="33"/>
      <c r="BJ113" s="33"/>
      <c r="BK113" s="7"/>
      <c r="BL113" s="33"/>
      <c r="BM113" s="33"/>
      <c r="BN113" s="7"/>
      <c r="BO113" s="33"/>
      <c r="BP113" s="33"/>
      <c r="BQ113" s="7"/>
      <c r="BR113" s="33"/>
      <c r="BS113" s="33"/>
      <c r="BT113" s="7"/>
      <c r="BU113" s="33"/>
      <c r="BV113" s="33"/>
      <c r="BW113" s="7"/>
      <c r="BX113" s="33"/>
      <c r="BY113" s="7">
        <f t="shared" si="109"/>
        <v>927094.74</v>
      </c>
      <c r="BZ113" s="7">
        <f t="shared" si="110"/>
        <v>1056888</v>
      </c>
      <c r="CA113" s="33"/>
      <c r="CB113" s="7">
        <f t="shared" si="111"/>
        <v>129793.26000000001</v>
      </c>
      <c r="CC113" s="7">
        <f t="shared" si="112"/>
        <v>0</v>
      </c>
      <c r="CD113" s="15">
        <f t="shared" si="113"/>
        <v>0.87719298544405844</v>
      </c>
      <c r="CE113" s="15">
        <f t="shared" si="114"/>
        <v>1</v>
      </c>
      <c r="CF113" s="451" t="s">
        <v>685</v>
      </c>
      <c r="CG113" s="33"/>
      <c r="CH113" s="33"/>
      <c r="CI113" s="33"/>
      <c r="CJ113" s="33"/>
      <c r="CK113" s="33"/>
      <c r="CL113" s="7"/>
      <c r="CM113" s="33"/>
      <c r="CN113" s="7"/>
      <c r="CO113" s="33"/>
      <c r="CP113" s="33"/>
      <c r="CQ113" s="7"/>
      <c r="CR113" s="7"/>
      <c r="CS113" s="7"/>
      <c r="CT113" s="33"/>
      <c r="CU113" s="33"/>
      <c r="CV113" s="7"/>
      <c r="CW113" s="33"/>
      <c r="CX113" s="33"/>
      <c r="CY113" s="7"/>
      <c r="CZ113" s="33"/>
      <c r="DA113" s="33"/>
      <c r="DB113" s="7"/>
      <c r="DC113" s="33"/>
      <c r="DD113" s="7"/>
      <c r="DE113" s="33"/>
      <c r="DF113" s="7"/>
      <c r="DG113" s="33"/>
      <c r="DH113" s="7"/>
      <c r="DI113" s="33"/>
      <c r="DJ113" s="7"/>
      <c r="DK113" s="33"/>
      <c r="DL113" s="7"/>
      <c r="DM113" s="33"/>
      <c r="DN113" s="7"/>
      <c r="DO113" s="33"/>
      <c r="DP113" s="14"/>
      <c r="DQ113" s="14"/>
      <c r="DR113" s="7"/>
      <c r="DS113" s="7"/>
      <c r="DT113" s="7"/>
      <c r="DU113" s="15"/>
      <c r="DV113" s="15"/>
      <c r="DW113" s="7"/>
      <c r="DX113" s="7"/>
      <c r="DY113" s="7"/>
      <c r="DZ113" s="27"/>
      <c r="EA113" s="319"/>
    </row>
    <row r="114" spans="1:131" s="10" customFormat="1" x14ac:dyDescent="0.25">
      <c r="A114" s="10" t="s">
        <v>82</v>
      </c>
      <c r="B114" s="24"/>
      <c r="C114" s="8" t="s">
        <v>230</v>
      </c>
      <c r="D114" s="12" t="s">
        <v>73</v>
      </c>
      <c r="E114" s="3">
        <v>515010</v>
      </c>
      <c r="F114" s="353">
        <v>4</v>
      </c>
      <c r="G114" s="359">
        <v>36</v>
      </c>
      <c r="H114" s="353">
        <v>1558</v>
      </c>
      <c r="I114" s="9" t="s">
        <v>245</v>
      </c>
      <c r="J114" s="10" t="s">
        <v>73</v>
      </c>
      <c r="K114" s="3"/>
      <c r="L114" s="3"/>
      <c r="M114" s="45"/>
      <c r="N114" s="3" t="s">
        <v>186</v>
      </c>
      <c r="O114" s="11" t="s">
        <v>186</v>
      </c>
      <c r="P114" s="3" t="s">
        <v>187</v>
      </c>
      <c r="Q114" s="3" t="s">
        <v>187</v>
      </c>
      <c r="R114" s="11" t="s">
        <v>194</v>
      </c>
      <c r="S114" s="3" t="s">
        <v>188</v>
      </c>
      <c r="T114" s="12" t="s">
        <v>517</v>
      </c>
      <c r="U114" s="12"/>
      <c r="V114" s="12" t="s">
        <v>222</v>
      </c>
      <c r="W114" s="12" t="s">
        <v>44</v>
      </c>
      <c r="X114" s="8" t="s">
        <v>54</v>
      </c>
      <c r="Y114" s="13" t="s">
        <v>69</v>
      </c>
      <c r="Z114" s="25" t="s">
        <v>182</v>
      </c>
      <c r="AA114" s="10" t="s">
        <v>749</v>
      </c>
      <c r="AB114" s="110" t="s">
        <v>37</v>
      </c>
      <c r="AC114" s="7"/>
      <c r="AD114" s="33"/>
      <c r="AE114" s="7"/>
      <c r="AF114" s="33"/>
      <c r="AG114" s="7"/>
      <c r="AH114" s="33"/>
      <c r="AI114" s="7"/>
      <c r="AJ114" s="409"/>
      <c r="AK114" s="7"/>
      <c r="AL114" s="33">
        <v>1000000</v>
      </c>
      <c r="AM114" s="33">
        <f>AK114+AL114+729909</f>
        <v>1729909</v>
      </c>
      <c r="AN114" s="33"/>
      <c r="AO114" s="33"/>
      <c r="AP114" s="7">
        <f t="shared" si="132"/>
        <v>0</v>
      </c>
      <c r="AQ114" s="33">
        <v>180844.29</v>
      </c>
      <c r="AR114" s="33">
        <v>25318.2</v>
      </c>
      <c r="AS114" s="7">
        <f t="shared" si="148"/>
        <v>206162.49000000002</v>
      </c>
      <c r="AT114" s="33"/>
      <c r="AU114" s="33"/>
      <c r="AV114" s="7">
        <f t="shared" si="149"/>
        <v>0</v>
      </c>
      <c r="AW114" s="33"/>
      <c r="AX114" s="33"/>
      <c r="AY114" s="7">
        <f t="shared" si="107"/>
        <v>0</v>
      </c>
      <c r="AZ114" s="33"/>
      <c r="BA114" s="33"/>
      <c r="BB114" s="7"/>
      <c r="BC114" s="33"/>
      <c r="BD114" s="33"/>
      <c r="BE114" s="7"/>
      <c r="BF114" s="33"/>
      <c r="BG114" s="33"/>
      <c r="BH114" s="7"/>
      <c r="BI114" s="33"/>
      <c r="BJ114" s="33"/>
      <c r="BK114" s="7"/>
      <c r="BL114" s="33"/>
      <c r="BM114" s="33"/>
      <c r="BN114" s="7"/>
      <c r="BO114" s="33"/>
      <c r="BP114" s="33"/>
      <c r="BQ114" s="7"/>
      <c r="BR114" s="33"/>
      <c r="BS114" s="33"/>
      <c r="BT114" s="7"/>
      <c r="BU114" s="33"/>
      <c r="BV114" s="33"/>
      <c r="BW114" s="7"/>
      <c r="BX114" s="33"/>
      <c r="BY114" s="7">
        <f t="shared" si="109"/>
        <v>180844.29</v>
      </c>
      <c r="BZ114" s="7">
        <f t="shared" si="110"/>
        <v>206162.49000000002</v>
      </c>
      <c r="CA114" s="33"/>
      <c r="CB114" s="7">
        <f t="shared" si="111"/>
        <v>1549064.71</v>
      </c>
      <c r="CC114" s="7">
        <f t="shared" si="112"/>
        <v>1523746.51</v>
      </c>
      <c r="CD114" s="15">
        <f t="shared" si="113"/>
        <v>0.1045397705890888</v>
      </c>
      <c r="CE114" s="15">
        <f t="shared" si="114"/>
        <v>0.11917533812472218</v>
      </c>
      <c r="CF114" s="450" t="s">
        <v>881</v>
      </c>
      <c r="CG114" s="33"/>
      <c r="CH114" s="33"/>
      <c r="CI114" s="33"/>
      <c r="CJ114" s="33"/>
      <c r="CK114" s="33"/>
      <c r="CL114" s="7"/>
      <c r="CM114" s="33"/>
      <c r="CN114" s="7"/>
      <c r="CO114" s="33"/>
      <c r="CP114" s="33"/>
      <c r="CQ114" s="7"/>
      <c r="CR114" s="7"/>
      <c r="CS114" s="7"/>
      <c r="CT114" s="33"/>
      <c r="CU114" s="33"/>
      <c r="CV114" s="7"/>
      <c r="CW114" s="33"/>
      <c r="CX114" s="33"/>
      <c r="CY114" s="7"/>
      <c r="CZ114" s="33"/>
      <c r="DA114" s="33"/>
      <c r="DB114" s="7"/>
      <c r="DC114" s="33"/>
      <c r="DD114" s="7"/>
      <c r="DE114" s="33"/>
      <c r="DF114" s="7"/>
      <c r="DG114" s="33"/>
      <c r="DH114" s="7"/>
      <c r="DI114" s="33"/>
      <c r="DJ114" s="7"/>
      <c r="DK114" s="33"/>
      <c r="DL114" s="7"/>
      <c r="DM114" s="33"/>
      <c r="DN114" s="7"/>
      <c r="DO114" s="33"/>
      <c r="DP114" s="14"/>
      <c r="DQ114" s="14"/>
      <c r="DR114" s="7"/>
      <c r="DS114" s="7"/>
      <c r="DT114" s="7"/>
      <c r="DU114" s="15"/>
      <c r="DV114" s="15"/>
      <c r="DW114" s="7"/>
      <c r="DX114" s="7"/>
      <c r="DY114" s="7"/>
      <c r="DZ114" s="27"/>
      <c r="EA114" s="319"/>
    </row>
    <row r="115" spans="1:131" s="10" customFormat="1" ht="30.75" x14ac:dyDescent="0.25">
      <c r="A115" s="10" t="s">
        <v>82</v>
      </c>
      <c r="B115" s="24"/>
      <c r="C115" s="8" t="s">
        <v>230</v>
      </c>
      <c r="D115" s="12" t="s">
        <v>73</v>
      </c>
      <c r="E115" s="3">
        <v>515010</v>
      </c>
      <c r="F115" s="353">
        <v>4</v>
      </c>
      <c r="G115" s="359">
        <v>36</v>
      </c>
      <c r="H115" s="353">
        <v>1559</v>
      </c>
      <c r="I115" s="9" t="s">
        <v>245</v>
      </c>
      <c r="J115" s="10" t="s">
        <v>73</v>
      </c>
      <c r="K115" s="3"/>
      <c r="L115" s="3"/>
      <c r="M115" s="45"/>
      <c r="N115" s="3" t="s">
        <v>186</v>
      </c>
      <c r="O115" s="11" t="s">
        <v>186</v>
      </c>
      <c r="P115" s="3" t="s">
        <v>187</v>
      </c>
      <c r="Q115" s="3" t="s">
        <v>187</v>
      </c>
      <c r="R115" s="11" t="s">
        <v>194</v>
      </c>
      <c r="S115" s="3" t="s">
        <v>188</v>
      </c>
      <c r="T115" s="12" t="s">
        <v>517</v>
      </c>
      <c r="U115" s="12"/>
      <c r="V115" s="12" t="s">
        <v>222</v>
      </c>
      <c r="W115" s="12" t="s">
        <v>44</v>
      </c>
      <c r="X115" s="8" t="s">
        <v>54</v>
      </c>
      <c r="Y115" s="13" t="s">
        <v>69</v>
      </c>
      <c r="Z115" s="25" t="s">
        <v>182</v>
      </c>
      <c r="AA115" s="10" t="s">
        <v>750</v>
      </c>
      <c r="AB115" s="110" t="s">
        <v>37</v>
      </c>
      <c r="AC115" s="7"/>
      <c r="AD115" s="33"/>
      <c r="AE115" s="7"/>
      <c r="AF115" s="33"/>
      <c r="AG115" s="7"/>
      <c r="AH115" s="33"/>
      <c r="AI115" s="7"/>
      <c r="AJ115" s="409"/>
      <c r="AK115" s="7"/>
      <c r="AL115" s="33">
        <v>3000000</v>
      </c>
      <c r="AM115" s="33">
        <f>AK115+AL115+949029</f>
        <v>3949029</v>
      </c>
      <c r="AN115" s="33">
        <v>-276650.90999999997</v>
      </c>
      <c r="AO115" s="33"/>
      <c r="AP115" s="7">
        <f t="shared" si="132"/>
        <v>-276650.90999999997</v>
      </c>
      <c r="AQ115" s="33">
        <f>75961.4+25315.04</f>
        <v>101276.44</v>
      </c>
      <c r="AR115" s="33">
        <v>10634.59</v>
      </c>
      <c r="AS115" s="7">
        <f t="shared" si="148"/>
        <v>111911.03</v>
      </c>
      <c r="AT115" s="33"/>
      <c r="AU115" s="33"/>
      <c r="AV115" s="7">
        <f t="shared" si="149"/>
        <v>0</v>
      </c>
      <c r="AW115" s="33">
        <v>278866.52</v>
      </c>
      <c r="AX115" s="33">
        <v>39041.31</v>
      </c>
      <c r="AY115" s="7">
        <f t="shared" si="107"/>
        <v>317907.83</v>
      </c>
      <c r="AZ115" s="33"/>
      <c r="BA115" s="33"/>
      <c r="BB115" s="7"/>
      <c r="BC115" s="33"/>
      <c r="BD115" s="33"/>
      <c r="BE115" s="7"/>
      <c r="BF115" s="33"/>
      <c r="BG115" s="33"/>
      <c r="BH115" s="7"/>
      <c r="BI115" s="33"/>
      <c r="BJ115" s="33"/>
      <c r="BK115" s="7"/>
      <c r="BL115" s="33"/>
      <c r="BM115" s="33"/>
      <c r="BN115" s="7"/>
      <c r="BO115" s="33"/>
      <c r="BP115" s="33"/>
      <c r="BQ115" s="7"/>
      <c r="BR115" s="33"/>
      <c r="BS115" s="33"/>
      <c r="BT115" s="7"/>
      <c r="BU115" s="33"/>
      <c r="BV115" s="33"/>
      <c r="BW115" s="7"/>
      <c r="BX115" s="33">
        <v>1526807.61</v>
      </c>
      <c r="BY115" s="7">
        <f t="shared" si="109"/>
        <v>103492.05000000005</v>
      </c>
      <c r="BZ115" s="7">
        <f t="shared" si="110"/>
        <v>153167.95000000004</v>
      </c>
      <c r="CA115" s="33"/>
      <c r="CB115" s="7">
        <f t="shared" si="111"/>
        <v>3845536.95</v>
      </c>
      <c r="CC115" s="7">
        <f t="shared" si="112"/>
        <v>3795861.05</v>
      </c>
      <c r="CD115" s="15">
        <f t="shared" si="113"/>
        <v>2.6206961255539032E-2</v>
      </c>
      <c r="CE115" s="15">
        <f t="shared" si="114"/>
        <v>3.8786230741784888E-2</v>
      </c>
      <c r="CF115" s="450" t="s">
        <v>772</v>
      </c>
      <c r="CG115" s="33"/>
      <c r="CH115" s="33"/>
      <c r="CI115" s="33"/>
      <c r="CJ115" s="33"/>
      <c r="CK115" s="33"/>
      <c r="CL115" s="7"/>
      <c r="CM115" s="33"/>
      <c r="CN115" s="7"/>
      <c r="CO115" s="33"/>
      <c r="CP115" s="33"/>
      <c r="CQ115" s="7"/>
      <c r="CR115" s="7"/>
      <c r="CS115" s="7"/>
      <c r="CT115" s="33"/>
      <c r="CU115" s="33"/>
      <c r="CV115" s="7"/>
      <c r="CW115" s="33"/>
      <c r="CX115" s="33"/>
      <c r="CY115" s="7"/>
      <c r="CZ115" s="33"/>
      <c r="DA115" s="33"/>
      <c r="DB115" s="7"/>
      <c r="DC115" s="33"/>
      <c r="DD115" s="7"/>
      <c r="DE115" s="33"/>
      <c r="DF115" s="7"/>
      <c r="DG115" s="33"/>
      <c r="DH115" s="7"/>
      <c r="DI115" s="33"/>
      <c r="DJ115" s="7"/>
      <c r="DK115" s="33"/>
      <c r="DL115" s="7"/>
      <c r="DM115" s="33"/>
      <c r="DN115" s="7"/>
      <c r="DO115" s="33"/>
      <c r="DP115" s="14"/>
      <c r="DQ115" s="14"/>
      <c r="DR115" s="7"/>
      <c r="DS115" s="7"/>
      <c r="DT115" s="7"/>
      <c r="DU115" s="15"/>
      <c r="DV115" s="15"/>
      <c r="DW115" s="7"/>
      <c r="DX115" s="7"/>
      <c r="DY115" s="7"/>
      <c r="DZ115" s="27"/>
      <c r="EA115" s="319"/>
    </row>
    <row r="116" spans="1:131" s="10" customFormat="1" x14ac:dyDescent="0.25">
      <c r="A116" s="10" t="s">
        <v>82</v>
      </c>
      <c r="B116" s="24"/>
      <c r="C116" s="8" t="s">
        <v>230</v>
      </c>
      <c r="D116" s="12" t="s">
        <v>73</v>
      </c>
      <c r="E116" s="3">
        <v>515010</v>
      </c>
      <c r="F116" s="353">
        <v>4</v>
      </c>
      <c r="G116" s="359">
        <v>36</v>
      </c>
      <c r="H116" s="353">
        <v>1560</v>
      </c>
      <c r="I116" s="9" t="s">
        <v>245</v>
      </c>
      <c r="J116" s="10" t="s">
        <v>73</v>
      </c>
      <c r="K116" s="3"/>
      <c r="L116" s="3"/>
      <c r="M116" s="45"/>
      <c r="N116" s="3" t="s">
        <v>186</v>
      </c>
      <c r="O116" s="11" t="s">
        <v>186</v>
      </c>
      <c r="P116" s="3" t="s">
        <v>187</v>
      </c>
      <c r="Q116" s="3" t="s">
        <v>187</v>
      </c>
      <c r="R116" s="11" t="s">
        <v>194</v>
      </c>
      <c r="S116" s="3" t="s">
        <v>188</v>
      </c>
      <c r="T116" s="12" t="s">
        <v>517</v>
      </c>
      <c r="U116" s="12"/>
      <c r="V116" s="12" t="s">
        <v>222</v>
      </c>
      <c r="W116" s="12" t="s">
        <v>44</v>
      </c>
      <c r="X116" s="8" t="s">
        <v>54</v>
      </c>
      <c r="Y116" s="13" t="s">
        <v>69</v>
      </c>
      <c r="Z116" s="25" t="s">
        <v>182</v>
      </c>
      <c r="AA116" s="10" t="s">
        <v>751</v>
      </c>
      <c r="AB116" s="110" t="s">
        <v>37</v>
      </c>
      <c r="AC116" s="7"/>
      <c r="AD116" s="33"/>
      <c r="AE116" s="7"/>
      <c r="AF116" s="33"/>
      <c r="AG116" s="7"/>
      <c r="AH116" s="33"/>
      <c r="AI116" s="7"/>
      <c r="AJ116" s="409"/>
      <c r="AK116" s="7"/>
      <c r="AL116" s="33">
        <v>5000000</v>
      </c>
      <c r="AM116" s="33">
        <f>AK116+AL116+29611</f>
        <v>5029611</v>
      </c>
      <c r="AN116" s="33"/>
      <c r="AO116" s="33"/>
      <c r="AP116" s="7">
        <f t="shared" si="132"/>
        <v>0</v>
      </c>
      <c r="AQ116" s="33">
        <v>116918.57</v>
      </c>
      <c r="AR116" s="33">
        <v>16368.59</v>
      </c>
      <c r="AS116" s="7">
        <f t="shared" si="148"/>
        <v>133287.16</v>
      </c>
      <c r="AT116" s="33">
        <v>593257.87</v>
      </c>
      <c r="AU116" s="33">
        <v>83056.100000000006</v>
      </c>
      <c r="AV116" s="7">
        <f t="shared" si="149"/>
        <v>676313.97</v>
      </c>
      <c r="AW116" s="33">
        <v>468158.58</v>
      </c>
      <c r="AX116" s="33">
        <v>65542.2</v>
      </c>
      <c r="AY116" s="7">
        <f t="shared" si="107"/>
        <v>533700.78</v>
      </c>
      <c r="AZ116" s="33"/>
      <c r="BA116" s="33"/>
      <c r="BB116" s="7"/>
      <c r="BC116" s="33"/>
      <c r="BD116" s="33"/>
      <c r="BE116" s="7"/>
      <c r="BF116" s="33"/>
      <c r="BG116" s="33"/>
      <c r="BH116" s="7"/>
      <c r="BI116" s="33"/>
      <c r="BJ116" s="33"/>
      <c r="BK116" s="7"/>
      <c r="BL116" s="33"/>
      <c r="BM116" s="33"/>
      <c r="BN116" s="7"/>
      <c r="BO116" s="33"/>
      <c r="BP116" s="33"/>
      <c r="BQ116" s="7"/>
      <c r="BR116" s="33"/>
      <c r="BS116" s="33"/>
      <c r="BT116" s="7"/>
      <c r="BU116" s="33"/>
      <c r="BV116" s="33"/>
      <c r="BW116" s="7"/>
      <c r="BX116" s="33"/>
      <c r="BY116" s="7">
        <f t="shared" si="109"/>
        <v>1178335.02</v>
      </c>
      <c r="BZ116" s="7">
        <f t="shared" si="110"/>
        <v>1343301.9100000001</v>
      </c>
      <c r="CA116" s="33"/>
      <c r="CB116" s="7">
        <f t="shared" si="111"/>
        <v>3851275.98</v>
      </c>
      <c r="CC116" s="7">
        <f t="shared" si="112"/>
        <v>3686309.09</v>
      </c>
      <c r="CD116" s="15">
        <f t="shared" si="113"/>
        <v>0.23427955362750719</v>
      </c>
      <c r="CE116" s="15">
        <f t="shared" si="114"/>
        <v>0.26707868859042977</v>
      </c>
      <c r="CF116" s="451" t="s">
        <v>685</v>
      </c>
      <c r="CG116" s="33"/>
      <c r="CH116" s="33"/>
      <c r="CI116" s="33"/>
      <c r="CJ116" s="33"/>
      <c r="CK116" s="33"/>
      <c r="CL116" s="7"/>
      <c r="CM116" s="33"/>
      <c r="CN116" s="7"/>
      <c r="CO116" s="33"/>
      <c r="CP116" s="33"/>
      <c r="CQ116" s="7"/>
      <c r="CR116" s="7"/>
      <c r="CS116" s="7"/>
      <c r="CT116" s="33"/>
      <c r="CU116" s="33"/>
      <c r="CV116" s="7"/>
      <c r="CW116" s="33"/>
      <c r="CX116" s="33"/>
      <c r="CY116" s="7"/>
      <c r="CZ116" s="33"/>
      <c r="DA116" s="33"/>
      <c r="DB116" s="7"/>
      <c r="DC116" s="33"/>
      <c r="DD116" s="7"/>
      <c r="DE116" s="33"/>
      <c r="DF116" s="7"/>
      <c r="DG116" s="33"/>
      <c r="DH116" s="7"/>
      <c r="DI116" s="33"/>
      <c r="DJ116" s="7"/>
      <c r="DK116" s="33"/>
      <c r="DL116" s="7"/>
      <c r="DM116" s="33"/>
      <c r="DN116" s="7"/>
      <c r="DO116" s="33"/>
      <c r="DP116" s="14"/>
      <c r="DQ116" s="14"/>
      <c r="DR116" s="7"/>
      <c r="DS116" s="7"/>
      <c r="DT116" s="7"/>
      <c r="DU116" s="15"/>
      <c r="DV116" s="15"/>
      <c r="DW116" s="7"/>
      <c r="DX116" s="7"/>
      <c r="DY116" s="7"/>
      <c r="DZ116" s="27"/>
      <c r="EA116" s="319"/>
    </row>
    <row r="117" spans="1:131" s="10" customFormat="1" x14ac:dyDescent="0.25">
      <c r="A117" s="10" t="s">
        <v>82</v>
      </c>
      <c r="B117" s="24"/>
      <c r="C117" s="8" t="s">
        <v>230</v>
      </c>
      <c r="D117" s="12" t="s">
        <v>73</v>
      </c>
      <c r="E117" s="3">
        <v>515010</v>
      </c>
      <c r="F117" s="353">
        <v>4</v>
      </c>
      <c r="G117" s="359">
        <v>36</v>
      </c>
      <c r="H117" s="353">
        <v>1568</v>
      </c>
      <c r="I117" s="9" t="s">
        <v>245</v>
      </c>
      <c r="J117" s="10" t="s">
        <v>73</v>
      </c>
      <c r="K117" s="3"/>
      <c r="L117" s="3"/>
      <c r="M117" s="45"/>
      <c r="N117" s="3" t="s">
        <v>186</v>
      </c>
      <c r="O117" s="11" t="s">
        <v>186</v>
      </c>
      <c r="P117" s="3" t="s">
        <v>187</v>
      </c>
      <c r="Q117" s="3" t="s">
        <v>187</v>
      </c>
      <c r="R117" s="11" t="s">
        <v>194</v>
      </c>
      <c r="S117" s="3" t="s">
        <v>188</v>
      </c>
      <c r="T117" s="12" t="s">
        <v>517</v>
      </c>
      <c r="U117" s="12"/>
      <c r="V117" s="12" t="s">
        <v>222</v>
      </c>
      <c r="W117" s="12"/>
      <c r="X117" s="8"/>
      <c r="Y117" s="13"/>
      <c r="Z117" s="25"/>
      <c r="AA117" s="10" t="s">
        <v>775</v>
      </c>
      <c r="AB117" s="110" t="s">
        <v>37</v>
      </c>
      <c r="AC117" s="7"/>
      <c r="AD117" s="33"/>
      <c r="AE117" s="7"/>
      <c r="AF117" s="33"/>
      <c r="AG117" s="7"/>
      <c r="AH117" s="33"/>
      <c r="AI117" s="7"/>
      <c r="AJ117" s="409"/>
      <c r="AK117" s="7"/>
      <c r="AL117" s="33"/>
      <c r="AM117" s="33">
        <v>10000000</v>
      </c>
      <c r="AN117" s="33"/>
      <c r="AO117" s="33"/>
      <c r="AP117" s="7"/>
      <c r="AQ117" s="33"/>
      <c r="AR117" s="33"/>
      <c r="AS117" s="7"/>
      <c r="AT117" s="33"/>
      <c r="AU117" s="33"/>
      <c r="AV117" s="7">
        <f t="shared" si="149"/>
        <v>0</v>
      </c>
      <c r="AW117" s="33"/>
      <c r="AX117" s="33"/>
      <c r="AY117" s="7">
        <f t="shared" si="107"/>
        <v>0</v>
      </c>
      <c r="AZ117" s="33"/>
      <c r="BA117" s="33"/>
      <c r="BB117" s="7"/>
      <c r="BC117" s="33"/>
      <c r="BD117" s="33"/>
      <c r="BE117" s="7"/>
      <c r="BF117" s="33"/>
      <c r="BG117" s="33"/>
      <c r="BH117" s="7"/>
      <c r="BI117" s="33"/>
      <c r="BJ117" s="33"/>
      <c r="BK117" s="7"/>
      <c r="BL117" s="33"/>
      <c r="BM117" s="33"/>
      <c r="BN117" s="7"/>
      <c r="BO117" s="33"/>
      <c r="BP117" s="33"/>
      <c r="BQ117" s="7"/>
      <c r="BR117" s="33"/>
      <c r="BS117" s="33"/>
      <c r="BT117" s="7"/>
      <c r="BU117" s="33"/>
      <c r="BV117" s="33"/>
      <c r="BW117" s="7"/>
      <c r="BX117" s="33"/>
      <c r="BY117" s="7">
        <f t="shared" si="109"/>
        <v>0</v>
      </c>
      <c r="BZ117" s="7">
        <f t="shared" si="110"/>
        <v>0</v>
      </c>
      <c r="CA117" s="33"/>
      <c r="CB117" s="7">
        <f t="shared" si="111"/>
        <v>10000000</v>
      </c>
      <c r="CC117" s="7">
        <f t="shared" si="112"/>
        <v>10000000</v>
      </c>
      <c r="CD117" s="15">
        <f t="shared" si="113"/>
        <v>0</v>
      </c>
      <c r="CE117" s="15">
        <f t="shared" si="114"/>
        <v>0</v>
      </c>
      <c r="CF117" s="450" t="s">
        <v>826</v>
      </c>
      <c r="CG117" s="33"/>
      <c r="CH117" s="33"/>
      <c r="CI117" s="33"/>
      <c r="CJ117" s="33"/>
      <c r="CK117" s="33"/>
      <c r="CL117" s="7"/>
      <c r="CM117" s="33"/>
      <c r="CN117" s="7"/>
      <c r="CO117" s="33"/>
      <c r="CP117" s="33"/>
      <c r="CQ117" s="7"/>
      <c r="CR117" s="7"/>
      <c r="CS117" s="7"/>
      <c r="CT117" s="33"/>
      <c r="CU117" s="33"/>
      <c r="CV117" s="7"/>
      <c r="CW117" s="33"/>
      <c r="CX117" s="33"/>
      <c r="CY117" s="7"/>
      <c r="CZ117" s="33"/>
      <c r="DA117" s="33"/>
      <c r="DB117" s="7"/>
      <c r="DC117" s="33"/>
      <c r="DD117" s="7"/>
      <c r="DE117" s="33"/>
      <c r="DF117" s="7"/>
      <c r="DG117" s="33"/>
      <c r="DH117" s="7"/>
      <c r="DI117" s="33"/>
      <c r="DJ117" s="7"/>
      <c r="DK117" s="33"/>
      <c r="DL117" s="7"/>
      <c r="DM117" s="33"/>
      <c r="DN117" s="7"/>
      <c r="DO117" s="33"/>
      <c r="DP117" s="14"/>
      <c r="DQ117" s="14"/>
      <c r="DR117" s="7"/>
      <c r="DS117" s="7"/>
      <c r="DT117" s="7"/>
      <c r="DU117" s="15"/>
      <c r="DV117" s="15"/>
      <c r="DW117" s="7"/>
      <c r="DX117" s="7"/>
      <c r="DY117" s="7"/>
      <c r="DZ117" s="27"/>
      <c r="EA117" s="319"/>
    </row>
    <row r="118" spans="1:131" s="10" customFormat="1" x14ac:dyDescent="0.25">
      <c r="A118" s="10" t="s">
        <v>82</v>
      </c>
      <c r="B118" s="24"/>
      <c r="C118" s="8" t="s">
        <v>230</v>
      </c>
      <c r="D118" s="12" t="s">
        <v>73</v>
      </c>
      <c r="E118" s="3">
        <v>515010</v>
      </c>
      <c r="F118" s="353">
        <v>4</v>
      </c>
      <c r="G118" s="359">
        <v>36</v>
      </c>
      <c r="H118" s="353">
        <v>1569</v>
      </c>
      <c r="I118" s="9" t="s">
        <v>245</v>
      </c>
      <c r="J118" s="10" t="s">
        <v>73</v>
      </c>
      <c r="K118" s="3"/>
      <c r="L118" s="3"/>
      <c r="M118" s="45"/>
      <c r="N118" s="3" t="s">
        <v>186</v>
      </c>
      <c r="O118" s="11" t="s">
        <v>186</v>
      </c>
      <c r="P118" s="3" t="s">
        <v>187</v>
      </c>
      <c r="Q118" s="3" t="s">
        <v>187</v>
      </c>
      <c r="R118" s="11" t="s">
        <v>194</v>
      </c>
      <c r="S118" s="3" t="s">
        <v>188</v>
      </c>
      <c r="T118" s="12" t="s">
        <v>517</v>
      </c>
      <c r="U118" s="12"/>
      <c r="V118" s="12" t="s">
        <v>222</v>
      </c>
      <c r="W118" s="12"/>
      <c r="X118" s="8"/>
      <c r="Y118" s="13"/>
      <c r="Z118" s="25"/>
      <c r="AA118" s="10" t="s">
        <v>776</v>
      </c>
      <c r="AB118" s="110" t="s">
        <v>37</v>
      </c>
      <c r="AC118" s="7"/>
      <c r="AD118" s="33"/>
      <c r="AE118" s="7"/>
      <c r="AF118" s="33"/>
      <c r="AG118" s="7"/>
      <c r="AH118" s="33"/>
      <c r="AI118" s="7"/>
      <c r="AJ118" s="409"/>
      <c r="AK118" s="7"/>
      <c r="AL118" s="33"/>
      <c r="AM118" s="33">
        <f>11200000+1240860</f>
        <v>12440860</v>
      </c>
      <c r="AN118" s="33"/>
      <c r="AO118" s="33"/>
      <c r="AP118" s="7"/>
      <c r="AQ118" s="33"/>
      <c r="AR118" s="33"/>
      <c r="AS118" s="7"/>
      <c r="AT118" s="33"/>
      <c r="AU118" s="33"/>
      <c r="AV118" s="7">
        <f t="shared" si="149"/>
        <v>0</v>
      </c>
      <c r="AW118" s="33">
        <v>2575489.7799999998</v>
      </c>
      <c r="AX118" s="33">
        <v>360568.57</v>
      </c>
      <c r="AY118" s="7">
        <f t="shared" si="107"/>
        <v>2936058.3499999996</v>
      </c>
      <c r="AZ118" s="33"/>
      <c r="BA118" s="33"/>
      <c r="BB118" s="7"/>
      <c r="BC118" s="33"/>
      <c r="BD118" s="33"/>
      <c r="BE118" s="7"/>
      <c r="BF118" s="33"/>
      <c r="BG118" s="33"/>
      <c r="BH118" s="7"/>
      <c r="BI118" s="33"/>
      <c r="BJ118" s="33"/>
      <c r="BK118" s="7"/>
      <c r="BL118" s="33"/>
      <c r="BM118" s="33"/>
      <c r="BN118" s="7"/>
      <c r="BO118" s="33"/>
      <c r="BP118" s="33"/>
      <c r="BQ118" s="7"/>
      <c r="BR118" s="33"/>
      <c r="BS118" s="33"/>
      <c r="BT118" s="7"/>
      <c r="BU118" s="33"/>
      <c r="BV118" s="33"/>
      <c r="BW118" s="7"/>
      <c r="BX118" s="33"/>
      <c r="BY118" s="7">
        <f t="shared" si="109"/>
        <v>2575489.7799999998</v>
      </c>
      <c r="BZ118" s="7">
        <f t="shared" si="110"/>
        <v>2936058.3499999996</v>
      </c>
      <c r="CA118" s="33"/>
      <c r="CB118" s="7">
        <f t="shared" si="111"/>
        <v>9865370.2200000007</v>
      </c>
      <c r="CC118" s="7">
        <f t="shared" si="112"/>
        <v>9504801.6500000004</v>
      </c>
      <c r="CD118" s="15">
        <f t="shared" si="113"/>
        <v>0.20701862893722781</v>
      </c>
      <c r="CE118" s="15">
        <f t="shared" si="114"/>
        <v>0.23600123705274392</v>
      </c>
      <c r="CF118" s="450" t="s">
        <v>827</v>
      </c>
      <c r="CG118" s="33"/>
      <c r="CH118" s="33"/>
      <c r="CI118" s="33"/>
      <c r="CJ118" s="33"/>
      <c r="CK118" s="33"/>
      <c r="CL118" s="7"/>
      <c r="CM118" s="33"/>
      <c r="CN118" s="7"/>
      <c r="CO118" s="33"/>
      <c r="CP118" s="33"/>
      <c r="CQ118" s="7"/>
      <c r="CR118" s="7"/>
      <c r="CS118" s="7"/>
      <c r="CT118" s="33"/>
      <c r="CU118" s="33"/>
      <c r="CV118" s="7"/>
      <c r="CW118" s="33"/>
      <c r="CX118" s="33"/>
      <c r="CY118" s="7"/>
      <c r="CZ118" s="33"/>
      <c r="DA118" s="33"/>
      <c r="DB118" s="7"/>
      <c r="DC118" s="33"/>
      <c r="DD118" s="7"/>
      <c r="DE118" s="33"/>
      <c r="DF118" s="7"/>
      <c r="DG118" s="33"/>
      <c r="DH118" s="7"/>
      <c r="DI118" s="33"/>
      <c r="DJ118" s="7"/>
      <c r="DK118" s="33"/>
      <c r="DL118" s="7"/>
      <c r="DM118" s="33"/>
      <c r="DN118" s="7"/>
      <c r="DO118" s="33"/>
      <c r="DP118" s="14"/>
      <c r="DQ118" s="14"/>
      <c r="DR118" s="7"/>
      <c r="DS118" s="7"/>
      <c r="DT118" s="7"/>
      <c r="DU118" s="15"/>
      <c r="DV118" s="15"/>
      <c r="DW118" s="7"/>
      <c r="DX118" s="7"/>
      <c r="DY118" s="7"/>
      <c r="DZ118" s="27"/>
      <c r="EA118" s="319"/>
    </row>
    <row r="119" spans="1:131" s="10" customFormat="1" x14ac:dyDescent="0.25">
      <c r="A119" s="10" t="s">
        <v>82</v>
      </c>
      <c r="B119" s="24"/>
      <c r="C119" s="8" t="s">
        <v>230</v>
      </c>
      <c r="D119" s="12" t="s">
        <v>73</v>
      </c>
      <c r="E119" s="3">
        <v>515010</v>
      </c>
      <c r="F119" s="353">
        <v>4</v>
      </c>
      <c r="G119" s="359">
        <v>36</v>
      </c>
      <c r="H119" s="353">
        <v>1570</v>
      </c>
      <c r="I119" s="9" t="s">
        <v>245</v>
      </c>
      <c r="J119" s="10" t="s">
        <v>73</v>
      </c>
      <c r="K119" s="3"/>
      <c r="L119" s="3"/>
      <c r="M119" s="45"/>
      <c r="N119" s="3" t="s">
        <v>186</v>
      </c>
      <c r="O119" s="11" t="s">
        <v>186</v>
      </c>
      <c r="P119" s="3" t="s">
        <v>187</v>
      </c>
      <c r="Q119" s="3" t="s">
        <v>187</v>
      </c>
      <c r="R119" s="11" t="s">
        <v>194</v>
      </c>
      <c r="S119" s="3" t="s">
        <v>188</v>
      </c>
      <c r="T119" s="12" t="s">
        <v>517</v>
      </c>
      <c r="U119" s="12"/>
      <c r="V119" s="12" t="s">
        <v>222</v>
      </c>
      <c r="W119" s="12"/>
      <c r="X119" s="8"/>
      <c r="Y119" s="13"/>
      <c r="Z119" s="25"/>
      <c r="AA119" s="10" t="s">
        <v>777</v>
      </c>
      <c r="AB119" s="110" t="s">
        <v>37</v>
      </c>
      <c r="AC119" s="7"/>
      <c r="AD119" s="33"/>
      <c r="AE119" s="7"/>
      <c r="AF119" s="33"/>
      <c r="AG119" s="7"/>
      <c r="AH119" s="33"/>
      <c r="AI119" s="7"/>
      <c r="AJ119" s="409"/>
      <c r="AK119" s="7"/>
      <c r="AL119" s="33"/>
      <c r="AM119" s="33">
        <v>10000000</v>
      </c>
      <c r="AN119" s="33"/>
      <c r="AO119" s="33"/>
      <c r="AP119" s="7"/>
      <c r="AQ119" s="33"/>
      <c r="AR119" s="33"/>
      <c r="AS119" s="7"/>
      <c r="AT119" s="33"/>
      <c r="AU119" s="33"/>
      <c r="AV119" s="7">
        <f t="shared" si="149"/>
        <v>0</v>
      </c>
      <c r="AW119" s="33"/>
      <c r="AX119" s="33"/>
      <c r="AY119" s="7">
        <f t="shared" si="107"/>
        <v>0</v>
      </c>
      <c r="AZ119" s="33"/>
      <c r="BA119" s="33"/>
      <c r="BB119" s="7"/>
      <c r="BC119" s="33"/>
      <c r="BD119" s="33"/>
      <c r="BE119" s="7"/>
      <c r="BF119" s="33"/>
      <c r="BG119" s="33"/>
      <c r="BH119" s="7"/>
      <c r="BI119" s="33"/>
      <c r="BJ119" s="33"/>
      <c r="BK119" s="7"/>
      <c r="BL119" s="33"/>
      <c r="BM119" s="33"/>
      <c r="BN119" s="7"/>
      <c r="BO119" s="33"/>
      <c r="BP119" s="33"/>
      <c r="BQ119" s="7"/>
      <c r="BR119" s="33"/>
      <c r="BS119" s="33"/>
      <c r="BT119" s="7"/>
      <c r="BU119" s="33"/>
      <c r="BV119" s="33"/>
      <c r="BW119" s="7"/>
      <c r="BX119" s="33"/>
      <c r="BY119" s="7">
        <f t="shared" si="109"/>
        <v>0</v>
      </c>
      <c r="BZ119" s="7">
        <f t="shared" si="110"/>
        <v>0</v>
      </c>
      <c r="CA119" s="33"/>
      <c r="CB119" s="7">
        <f t="shared" si="111"/>
        <v>10000000</v>
      </c>
      <c r="CC119" s="7">
        <f t="shared" si="112"/>
        <v>10000000</v>
      </c>
      <c r="CD119" s="15">
        <f t="shared" si="113"/>
        <v>0</v>
      </c>
      <c r="CE119" s="15">
        <f t="shared" si="114"/>
        <v>0</v>
      </c>
      <c r="CF119" s="451" t="s">
        <v>685</v>
      </c>
      <c r="CG119" s="33"/>
      <c r="CH119" s="33"/>
      <c r="CI119" s="33"/>
      <c r="CJ119" s="33"/>
      <c r="CK119" s="33"/>
      <c r="CL119" s="7"/>
      <c r="CM119" s="33"/>
      <c r="CN119" s="7"/>
      <c r="CO119" s="33"/>
      <c r="CP119" s="33"/>
      <c r="CQ119" s="7"/>
      <c r="CR119" s="7"/>
      <c r="CS119" s="7"/>
      <c r="CT119" s="33"/>
      <c r="CU119" s="33"/>
      <c r="CV119" s="7"/>
      <c r="CW119" s="33"/>
      <c r="CX119" s="33"/>
      <c r="CY119" s="7"/>
      <c r="CZ119" s="33"/>
      <c r="DA119" s="33"/>
      <c r="DB119" s="7"/>
      <c r="DC119" s="33"/>
      <c r="DD119" s="7"/>
      <c r="DE119" s="33"/>
      <c r="DF119" s="7"/>
      <c r="DG119" s="33"/>
      <c r="DH119" s="7"/>
      <c r="DI119" s="33"/>
      <c r="DJ119" s="7"/>
      <c r="DK119" s="33"/>
      <c r="DL119" s="7"/>
      <c r="DM119" s="33"/>
      <c r="DN119" s="7"/>
      <c r="DO119" s="33"/>
      <c r="DP119" s="14"/>
      <c r="DQ119" s="14"/>
      <c r="DR119" s="7"/>
      <c r="DS119" s="7"/>
      <c r="DT119" s="7"/>
      <c r="DU119" s="15"/>
      <c r="DV119" s="15"/>
      <c r="DW119" s="7"/>
      <c r="DX119" s="7"/>
      <c r="DY119" s="7"/>
      <c r="DZ119" s="27"/>
      <c r="EA119" s="319"/>
    </row>
    <row r="120" spans="1:131" s="10" customFormat="1" ht="30.75" x14ac:dyDescent="0.25">
      <c r="A120" s="10" t="s">
        <v>82</v>
      </c>
      <c r="B120" s="24" t="s">
        <v>254</v>
      </c>
      <c r="C120" s="8" t="s">
        <v>230</v>
      </c>
      <c r="D120" s="12"/>
      <c r="E120" s="3">
        <v>515010</v>
      </c>
      <c r="F120" s="353">
        <v>4</v>
      </c>
      <c r="G120" s="359" t="s">
        <v>187</v>
      </c>
      <c r="H120" s="353">
        <v>1521</v>
      </c>
      <c r="I120" s="9" t="s">
        <v>245</v>
      </c>
      <c r="J120" s="10" t="s">
        <v>73</v>
      </c>
      <c r="K120" s="3">
        <v>4</v>
      </c>
      <c r="L120" s="11" t="s">
        <v>187</v>
      </c>
      <c r="M120" s="45"/>
      <c r="N120" s="11" t="s">
        <v>186</v>
      </c>
      <c r="O120" s="11" t="s">
        <v>186</v>
      </c>
      <c r="P120" s="3" t="s">
        <v>187</v>
      </c>
      <c r="Q120" s="3" t="s">
        <v>187</v>
      </c>
      <c r="R120" s="11" t="s">
        <v>194</v>
      </c>
      <c r="S120" s="3" t="s">
        <v>188</v>
      </c>
      <c r="T120" s="12" t="s">
        <v>517</v>
      </c>
      <c r="U120" s="12"/>
      <c r="V120" s="12" t="s">
        <v>222</v>
      </c>
      <c r="W120" s="12" t="s">
        <v>44</v>
      </c>
      <c r="X120" s="8" t="s">
        <v>54</v>
      </c>
      <c r="Y120" s="13" t="s">
        <v>69</v>
      </c>
      <c r="Z120" s="25" t="s">
        <v>182</v>
      </c>
      <c r="AA120" s="10" t="s">
        <v>448</v>
      </c>
      <c r="AB120" s="12" t="s">
        <v>8</v>
      </c>
      <c r="AC120" s="7"/>
      <c r="AD120" s="33"/>
      <c r="AE120" s="7"/>
      <c r="AF120" s="33"/>
      <c r="AG120" s="7">
        <f t="shared" si="150"/>
        <v>0</v>
      </c>
      <c r="AH120" s="33"/>
      <c r="AI120" s="7">
        <f t="shared" si="151"/>
        <v>0</v>
      </c>
      <c r="AJ120" s="409"/>
      <c r="AK120" s="7">
        <v>40000000</v>
      </c>
      <c r="AL120" s="33">
        <v>-2000000</v>
      </c>
      <c r="AM120" s="33">
        <f t="shared" si="143"/>
        <v>38000000</v>
      </c>
      <c r="AN120" s="33">
        <v>0</v>
      </c>
      <c r="AO120" s="33">
        <v>0</v>
      </c>
      <c r="AP120" s="7">
        <f t="shared" si="132"/>
        <v>0</v>
      </c>
      <c r="AQ120" s="33"/>
      <c r="AR120" s="33"/>
      <c r="AS120" s="7">
        <f t="shared" si="148"/>
        <v>0</v>
      </c>
      <c r="AT120" s="33"/>
      <c r="AU120" s="33"/>
      <c r="AV120" s="7">
        <f t="shared" si="149"/>
        <v>0</v>
      </c>
      <c r="AW120" s="33"/>
      <c r="AX120" s="33"/>
      <c r="AY120" s="7">
        <f t="shared" si="107"/>
        <v>0</v>
      </c>
      <c r="AZ120" s="33"/>
      <c r="BA120" s="33"/>
      <c r="BB120" s="7">
        <f t="shared" si="135"/>
        <v>0</v>
      </c>
      <c r="BC120" s="33"/>
      <c r="BD120" s="33"/>
      <c r="BE120" s="7">
        <f t="shared" si="136"/>
        <v>0</v>
      </c>
      <c r="BF120" s="33"/>
      <c r="BG120" s="33"/>
      <c r="BH120" s="7">
        <f t="shared" si="137"/>
        <v>0</v>
      </c>
      <c r="BI120" s="33"/>
      <c r="BJ120" s="33"/>
      <c r="BK120" s="7">
        <f t="shared" si="138"/>
        <v>0</v>
      </c>
      <c r="BL120" s="33"/>
      <c r="BM120" s="33"/>
      <c r="BN120" s="7">
        <f t="shared" si="139"/>
        <v>0</v>
      </c>
      <c r="BO120" s="33"/>
      <c r="BP120" s="33"/>
      <c r="BQ120" s="7">
        <f t="shared" si="140"/>
        <v>0</v>
      </c>
      <c r="BR120" s="33"/>
      <c r="BS120" s="33"/>
      <c r="BT120" s="7">
        <f t="shared" si="141"/>
        <v>0</v>
      </c>
      <c r="BU120" s="33"/>
      <c r="BV120" s="33"/>
      <c r="BW120" s="7">
        <f t="shared" si="142"/>
        <v>0</v>
      </c>
      <c r="BX120" s="33"/>
      <c r="BY120" s="7">
        <f t="shared" si="109"/>
        <v>0</v>
      </c>
      <c r="BZ120" s="7">
        <f t="shared" si="110"/>
        <v>0</v>
      </c>
      <c r="CA120" s="33"/>
      <c r="CB120" s="7">
        <f t="shared" si="111"/>
        <v>38000000</v>
      </c>
      <c r="CC120" s="7">
        <f t="shared" si="112"/>
        <v>38000000</v>
      </c>
      <c r="CD120" s="15">
        <f t="shared" si="113"/>
        <v>0</v>
      </c>
      <c r="CE120" s="15">
        <f t="shared" si="114"/>
        <v>0</v>
      </c>
      <c r="CF120" s="451" t="s">
        <v>685</v>
      </c>
      <c r="CG120" s="33">
        <v>40000000</v>
      </c>
      <c r="CH120" s="33">
        <v>40000000</v>
      </c>
      <c r="CI120" s="33"/>
      <c r="CJ120" s="33"/>
      <c r="CK120" s="33"/>
      <c r="CL120" s="7"/>
      <c r="CM120" s="33"/>
      <c r="CN120" s="7"/>
      <c r="CO120" s="33"/>
      <c r="CP120" s="33"/>
      <c r="CQ120" s="7"/>
      <c r="CR120" s="7"/>
      <c r="CS120" s="7"/>
      <c r="CT120" s="33"/>
      <c r="CU120" s="33"/>
      <c r="CV120" s="7"/>
      <c r="CW120" s="33"/>
      <c r="CX120" s="33"/>
      <c r="CY120" s="7"/>
      <c r="CZ120" s="33"/>
      <c r="DA120" s="33"/>
      <c r="DB120" s="7"/>
      <c r="DC120" s="33"/>
      <c r="DD120" s="7"/>
      <c r="DE120" s="33"/>
      <c r="DF120" s="7"/>
      <c r="DG120" s="33"/>
      <c r="DH120" s="7"/>
      <c r="DI120" s="33"/>
      <c r="DJ120" s="7"/>
      <c r="DK120" s="33"/>
      <c r="DL120" s="7"/>
      <c r="DM120" s="33"/>
      <c r="DN120" s="7"/>
      <c r="DO120" s="33"/>
      <c r="DP120" s="14"/>
      <c r="DQ120" s="14"/>
      <c r="DR120" s="7"/>
      <c r="DS120" s="7"/>
      <c r="DT120" s="7"/>
      <c r="DU120" s="15"/>
      <c r="DV120" s="15"/>
      <c r="DW120" s="7"/>
      <c r="DX120" s="7"/>
      <c r="DY120" s="7"/>
      <c r="DZ120" s="27"/>
      <c r="EA120" s="319"/>
    </row>
    <row r="121" spans="1:131" s="10" customFormat="1" ht="90.75" x14ac:dyDescent="0.25">
      <c r="A121" s="10" t="s">
        <v>82</v>
      </c>
      <c r="B121" s="24" t="s">
        <v>68</v>
      </c>
      <c r="C121" s="8" t="s">
        <v>633</v>
      </c>
      <c r="D121" s="53" t="s">
        <v>35</v>
      </c>
      <c r="E121" s="3">
        <v>520005</v>
      </c>
      <c r="F121" s="353">
        <v>4</v>
      </c>
      <c r="G121" s="353">
        <v>36</v>
      </c>
      <c r="H121" s="353">
        <v>1521</v>
      </c>
      <c r="I121" s="9" t="s">
        <v>35</v>
      </c>
      <c r="J121" s="10" t="s">
        <v>35</v>
      </c>
      <c r="K121" s="3">
        <v>4</v>
      </c>
      <c r="L121" s="3">
        <v>36</v>
      </c>
      <c r="M121" s="45"/>
      <c r="N121" s="3" t="s">
        <v>186</v>
      </c>
      <c r="O121" s="3" t="s">
        <v>186</v>
      </c>
      <c r="P121" s="3" t="s">
        <v>187</v>
      </c>
      <c r="Q121" s="3" t="s">
        <v>187</v>
      </c>
      <c r="R121" s="11" t="s">
        <v>195</v>
      </c>
      <c r="S121" s="3" t="s">
        <v>188</v>
      </c>
      <c r="T121" s="12" t="s">
        <v>181</v>
      </c>
      <c r="U121" s="12"/>
      <c r="V121" s="12" t="s">
        <v>222</v>
      </c>
      <c r="W121" s="12" t="s">
        <v>24</v>
      </c>
      <c r="X121" s="8" t="s">
        <v>19</v>
      </c>
      <c r="Y121" s="25" t="s">
        <v>69</v>
      </c>
      <c r="Z121" s="25" t="s">
        <v>183</v>
      </c>
      <c r="AA121" s="10" t="s">
        <v>442</v>
      </c>
      <c r="AB121" s="110" t="s">
        <v>37</v>
      </c>
      <c r="AC121" s="7">
        <f>55000000-10000000-20000000-2000000-3000000-7000000-5000000-5000000-3000000</f>
        <v>0</v>
      </c>
      <c r="AD121" s="7"/>
      <c r="AE121" s="7"/>
      <c r="AF121" s="7"/>
      <c r="AG121" s="7">
        <f t="shared" si="150"/>
        <v>0</v>
      </c>
      <c r="AH121" s="33"/>
      <c r="AI121" s="7">
        <f t="shared" si="151"/>
        <v>0</v>
      </c>
      <c r="AJ121" s="409"/>
      <c r="AK121" s="7">
        <v>52500000</v>
      </c>
      <c r="AL121" s="33"/>
      <c r="AM121" s="33">
        <f>AK121+AL121-17458-56888-729909-949029-29611+450000-1240860</f>
        <v>49926245</v>
      </c>
      <c r="AN121" s="33">
        <v>0</v>
      </c>
      <c r="AO121" s="33">
        <v>0</v>
      </c>
      <c r="AP121" s="7">
        <f t="shared" si="132"/>
        <v>0</v>
      </c>
      <c r="AQ121" s="33">
        <v>1511048.24</v>
      </c>
      <c r="AR121" s="33">
        <v>195288.57</v>
      </c>
      <c r="AS121" s="7">
        <f t="shared" si="148"/>
        <v>1706336.81</v>
      </c>
      <c r="AT121" s="33">
        <v>929320.16</v>
      </c>
      <c r="AU121" s="33">
        <v>125133.92</v>
      </c>
      <c r="AV121" s="7">
        <f t="shared" si="149"/>
        <v>1054454.08</v>
      </c>
      <c r="AW121" s="33">
        <v>2521923.71</v>
      </c>
      <c r="AX121" s="33">
        <v>187200.94</v>
      </c>
      <c r="AY121" s="7">
        <f t="shared" si="107"/>
        <v>2709124.65</v>
      </c>
      <c r="AZ121" s="33"/>
      <c r="BA121" s="33"/>
      <c r="BB121" s="7">
        <f t="shared" si="135"/>
        <v>0</v>
      </c>
      <c r="BC121" s="33"/>
      <c r="BD121" s="33"/>
      <c r="BE121" s="7">
        <f t="shared" si="136"/>
        <v>0</v>
      </c>
      <c r="BF121" s="33"/>
      <c r="BG121" s="33"/>
      <c r="BH121" s="7">
        <f t="shared" si="137"/>
        <v>0</v>
      </c>
      <c r="BI121" s="33"/>
      <c r="BJ121" s="33"/>
      <c r="BK121" s="7">
        <f t="shared" si="138"/>
        <v>0</v>
      </c>
      <c r="BL121" s="33"/>
      <c r="BM121" s="33"/>
      <c r="BN121" s="7">
        <f t="shared" si="139"/>
        <v>0</v>
      </c>
      <c r="BO121" s="33"/>
      <c r="BP121" s="33"/>
      <c r="BQ121" s="7">
        <f t="shared" si="140"/>
        <v>0</v>
      </c>
      <c r="BR121" s="33"/>
      <c r="BS121" s="33"/>
      <c r="BT121" s="7">
        <f t="shared" si="141"/>
        <v>0</v>
      </c>
      <c r="BU121" s="33"/>
      <c r="BV121" s="33"/>
      <c r="BW121" s="7">
        <f t="shared" si="142"/>
        <v>0</v>
      </c>
      <c r="BX121" s="33">
        <v>2783229.4</v>
      </c>
      <c r="BY121" s="7">
        <f t="shared" si="109"/>
        <v>4962292.1099999994</v>
      </c>
      <c r="BZ121" s="7">
        <f t="shared" si="110"/>
        <v>5469915.54</v>
      </c>
      <c r="CA121" s="33"/>
      <c r="CB121" s="7">
        <f t="shared" si="111"/>
        <v>44963952.890000001</v>
      </c>
      <c r="CC121" s="7">
        <f t="shared" si="112"/>
        <v>44456329.460000001</v>
      </c>
      <c r="CD121" s="15">
        <f t="shared" si="113"/>
        <v>9.9392456011863084E-2</v>
      </c>
      <c r="CE121" s="15">
        <f t="shared" si="114"/>
        <v>0.10955992264188905</v>
      </c>
      <c r="CF121" s="450" t="s">
        <v>845</v>
      </c>
      <c r="CG121" s="33">
        <f>71000000-20000000</f>
        <v>51000000</v>
      </c>
      <c r="CH121" s="33">
        <f>71000000-20000000</f>
        <v>51000000</v>
      </c>
      <c r="CI121" s="33"/>
      <c r="CJ121" s="33"/>
      <c r="CK121" s="7"/>
      <c r="CL121" s="7">
        <f t="shared" si="115"/>
        <v>0</v>
      </c>
      <c r="CM121" s="7"/>
      <c r="CN121" s="7">
        <f>CM121</f>
        <v>0</v>
      </c>
      <c r="CO121" s="7"/>
      <c r="CP121" s="7"/>
      <c r="CQ121" s="7">
        <f t="shared" ref="CQ121:CQ142" si="153">CO121+CP121</f>
        <v>0</v>
      </c>
      <c r="CR121" s="7">
        <f t="shared" si="117"/>
        <v>0</v>
      </c>
      <c r="CS121" s="7">
        <f t="shared" si="118"/>
        <v>0</v>
      </c>
      <c r="CT121" s="7"/>
      <c r="CU121" s="7"/>
      <c r="CV121" s="7">
        <f t="shared" si="119"/>
        <v>0</v>
      </c>
      <c r="CW121" s="7"/>
      <c r="CX121" s="7"/>
      <c r="CY121" s="7">
        <f t="shared" ref="CY121:CY140" si="154">CW121+CX121</f>
        <v>0</v>
      </c>
      <c r="CZ121" s="7"/>
      <c r="DA121" s="7"/>
      <c r="DB121" s="7">
        <f t="shared" ref="DB121:DB140" si="155">CZ121+DA121</f>
        <v>0</v>
      </c>
      <c r="DC121" s="7"/>
      <c r="DD121" s="7"/>
      <c r="DE121" s="7"/>
      <c r="DF121" s="7"/>
      <c r="DG121" s="7"/>
      <c r="DH121" s="7"/>
      <c r="DI121" s="7"/>
      <c r="DJ121" s="7"/>
      <c r="DK121" s="7"/>
      <c r="DL121" s="7"/>
      <c r="DM121" s="7"/>
      <c r="DN121" s="7"/>
      <c r="DO121" s="7"/>
      <c r="DP121" s="14">
        <f t="shared" si="152"/>
        <v>0</v>
      </c>
      <c r="DQ121" s="14"/>
      <c r="DR121" s="7"/>
      <c r="DS121" s="7">
        <f t="shared" ref="DS121:DS140" si="156">AG121-DP121</f>
        <v>0</v>
      </c>
      <c r="DT121" s="7"/>
      <c r="DU121" s="15">
        <v>0</v>
      </c>
      <c r="DV121" s="15"/>
      <c r="DW121" s="33">
        <v>73000000</v>
      </c>
      <c r="DX121" s="7"/>
      <c r="DY121" s="7"/>
      <c r="DZ121" s="27"/>
      <c r="EA121" s="319"/>
    </row>
    <row r="122" spans="1:131" s="10" customFormat="1" ht="30.75" x14ac:dyDescent="0.25">
      <c r="A122" s="10" t="s">
        <v>82</v>
      </c>
      <c r="B122" s="24" t="s">
        <v>68</v>
      </c>
      <c r="C122" s="8" t="s">
        <v>633</v>
      </c>
      <c r="D122" s="53"/>
      <c r="E122" s="3">
        <v>520005</v>
      </c>
      <c r="F122" s="353">
        <v>4</v>
      </c>
      <c r="G122" s="359" t="s">
        <v>187</v>
      </c>
      <c r="H122" s="353">
        <v>1522</v>
      </c>
      <c r="I122" s="9" t="s">
        <v>35</v>
      </c>
      <c r="J122" s="10" t="s">
        <v>35</v>
      </c>
      <c r="K122" s="3">
        <v>4</v>
      </c>
      <c r="L122" s="11" t="s">
        <v>187</v>
      </c>
      <c r="M122" s="45"/>
      <c r="N122" s="11" t="s">
        <v>186</v>
      </c>
      <c r="O122" s="3" t="s">
        <v>186</v>
      </c>
      <c r="P122" s="3" t="s">
        <v>187</v>
      </c>
      <c r="Q122" s="3" t="s">
        <v>187</v>
      </c>
      <c r="R122" s="11" t="s">
        <v>195</v>
      </c>
      <c r="S122" s="3" t="s">
        <v>188</v>
      </c>
      <c r="T122" s="12" t="s">
        <v>181</v>
      </c>
      <c r="U122" s="12"/>
      <c r="V122" s="12" t="s">
        <v>222</v>
      </c>
      <c r="W122" s="12" t="s">
        <v>24</v>
      </c>
      <c r="X122" s="8" t="s">
        <v>19</v>
      </c>
      <c r="Y122" s="25" t="s">
        <v>69</v>
      </c>
      <c r="Z122" s="25" t="s">
        <v>183</v>
      </c>
      <c r="AA122" s="10" t="s">
        <v>449</v>
      </c>
      <c r="AB122" s="12" t="s">
        <v>8</v>
      </c>
      <c r="AC122" s="7"/>
      <c r="AD122" s="7"/>
      <c r="AE122" s="7"/>
      <c r="AF122" s="7"/>
      <c r="AG122" s="7">
        <f t="shared" si="150"/>
        <v>0</v>
      </c>
      <c r="AH122" s="33"/>
      <c r="AI122" s="7">
        <f t="shared" si="151"/>
        <v>0</v>
      </c>
      <c r="AJ122" s="409"/>
      <c r="AK122" s="7">
        <v>40000000</v>
      </c>
      <c r="AL122" s="33"/>
      <c r="AM122" s="33">
        <f t="shared" si="143"/>
        <v>40000000</v>
      </c>
      <c r="AN122" s="33">
        <v>0</v>
      </c>
      <c r="AO122" s="33">
        <v>0</v>
      </c>
      <c r="AP122" s="7">
        <f t="shared" si="132"/>
        <v>0</v>
      </c>
      <c r="AQ122" s="33">
        <v>268846.57</v>
      </c>
      <c r="AR122" s="33"/>
      <c r="AS122" s="7">
        <f t="shared" si="148"/>
        <v>268846.57</v>
      </c>
      <c r="AT122" s="33">
        <v>1115607.01</v>
      </c>
      <c r="AU122" s="33"/>
      <c r="AV122" s="7">
        <f t="shared" si="149"/>
        <v>1115607.01</v>
      </c>
      <c r="AW122" s="33">
        <v>240444.21</v>
      </c>
      <c r="AX122" s="33"/>
      <c r="AY122" s="7">
        <f t="shared" si="107"/>
        <v>240444.21</v>
      </c>
      <c r="AZ122" s="33"/>
      <c r="BA122" s="33"/>
      <c r="BB122" s="7">
        <f t="shared" si="135"/>
        <v>0</v>
      </c>
      <c r="BC122" s="33"/>
      <c r="BD122" s="33"/>
      <c r="BE122" s="7">
        <f t="shared" si="136"/>
        <v>0</v>
      </c>
      <c r="BF122" s="33"/>
      <c r="BG122" s="33"/>
      <c r="BH122" s="7">
        <f t="shared" si="137"/>
        <v>0</v>
      </c>
      <c r="BI122" s="33"/>
      <c r="BJ122" s="33"/>
      <c r="BK122" s="7">
        <f t="shared" si="138"/>
        <v>0</v>
      </c>
      <c r="BL122" s="33"/>
      <c r="BM122" s="33"/>
      <c r="BN122" s="7">
        <f t="shared" si="139"/>
        <v>0</v>
      </c>
      <c r="BO122" s="33"/>
      <c r="BP122" s="33"/>
      <c r="BQ122" s="7">
        <f t="shared" si="140"/>
        <v>0</v>
      </c>
      <c r="BR122" s="33"/>
      <c r="BS122" s="33"/>
      <c r="BT122" s="7">
        <f t="shared" si="141"/>
        <v>0</v>
      </c>
      <c r="BU122" s="33"/>
      <c r="BV122" s="33"/>
      <c r="BW122" s="7">
        <f t="shared" si="142"/>
        <v>0</v>
      </c>
      <c r="BX122" s="33">
        <v>8922254.3900000006</v>
      </c>
      <c r="BY122" s="7">
        <f t="shared" si="109"/>
        <v>1624897.79</v>
      </c>
      <c r="BZ122" s="7">
        <f t="shared" si="110"/>
        <v>1624897.79</v>
      </c>
      <c r="CA122" s="33"/>
      <c r="CB122" s="7">
        <f t="shared" si="111"/>
        <v>38375102.210000001</v>
      </c>
      <c r="CC122" s="7">
        <f t="shared" si="112"/>
        <v>38375102.210000001</v>
      </c>
      <c r="CD122" s="15">
        <f t="shared" si="113"/>
        <v>4.062244475E-2</v>
      </c>
      <c r="CE122" s="15">
        <f t="shared" si="114"/>
        <v>4.062244475E-2</v>
      </c>
      <c r="CF122" s="450" t="s">
        <v>828</v>
      </c>
      <c r="CG122" s="33">
        <v>40000000</v>
      </c>
      <c r="CH122" s="33">
        <v>40000000</v>
      </c>
      <c r="CI122" s="33"/>
      <c r="CJ122" s="33"/>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14"/>
      <c r="DQ122" s="14"/>
      <c r="DR122" s="7"/>
      <c r="DS122" s="7"/>
      <c r="DT122" s="7"/>
      <c r="DU122" s="15"/>
      <c r="DV122" s="15"/>
      <c r="DW122" s="33"/>
      <c r="DX122" s="7"/>
      <c r="DY122" s="7"/>
      <c r="DZ122" s="27"/>
      <c r="EA122" s="319"/>
    </row>
    <row r="123" spans="1:131" s="10" customFormat="1" ht="30.75" x14ac:dyDescent="0.25">
      <c r="A123" s="10" t="s">
        <v>82</v>
      </c>
      <c r="B123" s="24" t="s">
        <v>256</v>
      </c>
      <c r="C123" s="8" t="s">
        <v>633</v>
      </c>
      <c r="D123" s="53" t="s">
        <v>35</v>
      </c>
      <c r="E123" s="3">
        <v>520005</v>
      </c>
      <c r="F123" s="353">
        <v>4</v>
      </c>
      <c r="G123" s="353">
        <v>36</v>
      </c>
      <c r="H123" s="353">
        <v>1522</v>
      </c>
      <c r="I123" s="9" t="s">
        <v>35</v>
      </c>
      <c r="J123" s="10" t="s">
        <v>35</v>
      </c>
      <c r="K123" s="3">
        <v>4</v>
      </c>
      <c r="L123" s="3">
        <v>36</v>
      </c>
      <c r="M123" s="45"/>
      <c r="N123" s="3" t="s">
        <v>186</v>
      </c>
      <c r="O123" s="3" t="s">
        <v>186</v>
      </c>
      <c r="P123" s="3" t="s">
        <v>187</v>
      </c>
      <c r="Q123" s="3" t="s">
        <v>187</v>
      </c>
      <c r="R123" s="11" t="s">
        <v>195</v>
      </c>
      <c r="S123" s="3" t="s">
        <v>188</v>
      </c>
      <c r="T123" s="12" t="s">
        <v>181</v>
      </c>
      <c r="U123" s="12"/>
      <c r="V123" s="12" t="s">
        <v>222</v>
      </c>
      <c r="W123" s="12" t="s">
        <v>24</v>
      </c>
      <c r="X123" s="8" t="s">
        <v>19</v>
      </c>
      <c r="Y123" s="25" t="s">
        <v>69</v>
      </c>
      <c r="Z123" s="25" t="s">
        <v>183</v>
      </c>
      <c r="AA123" s="10" t="s">
        <v>255</v>
      </c>
      <c r="AB123" s="110" t="s">
        <v>37</v>
      </c>
      <c r="AC123" s="7">
        <v>10000000</v>
      </c>
      <c r="AD123" s="7"/>
      <c r="AE123" s="7">
        <f>AC123+AD123</f>
        <v>10000000</v>
      </c>
      <c r="AF123" s="7"/>
      <c r="AG123" s="7">
        <f t="shared" si="150"/>
        <v>10000000</v>
      </c>
      <c r="AH123" s="33"/>
      <c r="AI123" s="7">
        <f t="shared" si="151"/>
        <v>10000000</v>
      </c>
      <c r="AJ123" s="409"/>
      <c r="AK123" s="7">
        <v>5000000</v>
      </c>
      <c r="AL123" s="33"/>
      <c r="AM123" s="33">
        <f t="shared" si="143"/>
        <v>5000000</v>
      </c>
      <c r="AN123" s="33">
        <v>0</v>
      </c>
      <c r="AO123" s="33">
        <v>0</v>
      </c>
      <c r="AP123" s="7">
        <f t="shared" si="132"/>
        <v>0</v>
      </c>
      <c r="AQ123" s="33">
        <v>67797.399999999994</v>
      </c>
      <c r="AR123" s="33">
        <v>9491.64</v>
      </c>
      <c r="AS123" s="7">
        <f t="shared" si="148"/>
        <v>77289.039999999994</v>
      </c>
      <c r="AT123" s="33"/>
      <c r="AU123" s="33"/>
      <c r="AV123" s="7">
        <f t="shared" si="149"/>
        <v>0</v>
      </c>
      <c r="AW123" s="33">
        <v>235705.26</v>
      </c>
      <c r="AX123" s="33">
        <v>32998.730000000003</v>
      </c>
      <c r="AY123" s="7">
        <f t="shared" si="107"/>
        <v>268703.99</v>
      </c>
      <c r="AZ123" s="33"/>
      <c r="BA123" s="33"/>
      <c r="BB123" s="7">
        <f t="shared" si="135"/>
        <v>0</v>
      </c>
      <c r="BC123" s="33"/>
      <c r="BD123" s="33"/>
      <c r="BE123" s="7">
        <f t="shared" si="136"/>
        <v>0</v>
      </c>
      <c r="BF123" s="33"/>
      <c r="BG123" s="33"/>
      <c r="BH123" s="7">
        <f t="shared" si="137"/>
        <v>0</v>
      </c>
      <c r="BI123" s="33"/>
      <c r="BJ123" s="33"/>
      <c r="BK123" s="7">
        <f t="shared" si="138"/>
        <v>0</v>
      </c>
      <c r="BL123" s="33"/>
      <c r="BM123" s="33"/>
      <c r="BN123" s="7">
        <f t="shared" si="139"/>
        <v>0</v>
      </c>
      <c r="BO123" s="33"/>
      <c r="BP123" s="33"/>
      <c r="BQ123" s="7">
        <f t="shared" si="140"/>
        <v>0</v>
      </c>
      <c r="BR123" s="33"/>
      <c r="BS123" s="33"/>
      <c r="BT123" s="7">
        <f t="shared" si="141"/>
        <v>0</v>
      </c>
      <c r="BU123" s="33"/>
      <c r="BV123" s="33"/>
      <c r="BW123" s="7">
        <f t="shared" si="142"/>
        <v>0</v>
      </c>
      <c r="BX123" s="33"/>
      <c r="BY123" s="7">
        <f t="shared" si="109"/>
        <v>303502.66000000003</v>
      </c>
      <c r="BZ123" s="7">
        <f t="shared" si="110"/>
        <v>345993.02999999997</v>
      </c>
      <c r="CA123" s="33"/>
      <c r="CB123" s="7">
        <f t="shared" si="111"/>
        <v>4696497.34</v>
      </c>
      <c r="CC123" s="7">
        <f t="shared" si="112"/>
        <v>4654006.97</v>
      </c>
      <c r="CD123" s="15">
        <f t="shared" si="113"/>
        <v>6.0700532000000008E-2</v>
      </c>
      <c r="CE123" s="15">
        <f t="shared" si="114"/>
        <v>6.9198605999999996E-2</v>
      </c>
      <c r="CF123" s="450" t="s">
        <v>844</v>
      </c>
      <c r="CG123" s="33">
        <v>0</v>
      </c>
      <c r="CH123" s="33">
        <v>0</v>
      </c>
      <c r="CI123" s="33"/>
      <c r="CJ123" s="33"/>
      <c r="CK123" s="7"/>
      <c r="CL123" s="7">
        <f t="shared" si="115"/>
        <v>0</v>
      </c>
      <c r="CM123" s="7">
        <v>-1849660.37</v>
      </c>
      <c r="CN123" s="7">
        <f>CM123</f>
        <v>-1849660.37</v>
      </c>
      <c r="CO123" s="7"/>
      <c r="CP123" s="7"/>
      <c r="CQ123" s="7">
        <f t="shared" si="153"/>
        <v>0</v>
      </c>
      <c r="CR123" s="7">
        <f t="shared" si="117"/>
        <v>-1849660.37</v>
      </c>
      <c r="CS123" s="7">
        <f t="shared" si="118"/>
        <v>-1849660.37</v>
      </c>
      <c r="CT123" s="7"/>
      <c r="CU123" s="7"/>
      <c r="CV123" s="7">
        <f t="shared" si="119"/>
        <v>0</v>
      </c>
      <c r="CW123" s="7"/>
      <c r="CX123" s="7"/>
      <c r="CY123" s="7">
        <f t="shared" si="154"/>
        <v>0</v>
      </c>
      <c r="CZ123" s="7">
        <v>3541740.65</v>
      </c>
      <c r="DA123" s="7"/>
      <c r="DB123" s="7">
        <f t="shared" si="155"/>
        <v>3541740.65</v>
      </c>
      <c r="DC123" s="7"/>
      <c r="DD123" s="7">
        <f t="shared" si="122"/>
        <v>0</v>
      </c>
      <c r="DE123" s="7"/>
      <c r="DF123" s="7">
        <f t="shared" si="123"/>
        <v>0</v>
      </c>
      <c r="DG123" s="7"/>
      <c r="DH123" s="7">
        <f t="shared" si="124"/>
        <v>0</v>
      </c>
      <c r="DI123" s="7"/>
      <c r="DJ123" s="7">
        <f t="shared" si="125"/>
        <v>0</v>
      </c>
      <c r="DK123" s="7"/>
      <c r="DL123" s="7">
        <f t="shared" si="126"/>
        <v>0</v>
      </c>
      <c r="DM123" s="7"/>
      <c r="DN123" s="7">
        <f t="shared" si="127"/>
        <v>0</v>
      </c>
      <c r="DO123" s="7"/>
      <c r="DP123" s="14">
        <f t="shared" si="152"/>
        <v>1692080.2799999998</v>
      </c>
      <c r="DQ123" s="14">
        <f t="shared" ref="DQ123:DQ140" si="157">CL123+CN123+CQ123+CV123+CY123+DB123</f>
        <v>1692080.2799999998</v>
      </c>
      <c r="DR123" s="7"/>
      <c r="DS123" s="7">
        <f t="shared" si="156"/>
        <v>8307919.7200000007</v>
      </c>
      <c r="DT123" s="7">
        <f t="shared" ref="DT123:DT140" si="158">AG123-DQ123</f>
        <v>8307919.7200000007</v>
      </c>
      <c r="DU123" s="15">
        <f t="shared" ref="DU123:DU140" si="159">DP123/AG123</f>
        <v>0.16920802799999998</v>
      </c>
      <c r="DV123" s="15">
        <f t="shared" ref="DV123:DV140" si="160">DQ123/AG123</f>
        <v>0.16920802799999998</v>
      </c>
      <c r="DW123" s="7"/>
      <c r="DX123" s="7"/>
      <c r="DY123" s="7"/>
      <c r="DZ123" s="27"/>
      <c r="EA123" s="319"/>
    </row>
    <row r="124" spans="1:131" s="10" customFormat="1" x14ac:dyDescent="0.25">
      <c r="A124" s="10" t="s">
        <v>82</v>
      </c>
      <c r="B124" s="24" t="s">
        <v>64</v>
      </c>
      <c r="C124" s="10" t="s">
        <v>649</v>
      </c>
      <c r="D124" s="24" t="s">
        <v>19</v>
      </c>
      <c r="E124" s="3">
        <v>525025</v>
      </c>
      <c r="F124" s="353">
        <v>4</v>
      </c>
      <c r="G124" s="353">
        <v>36</v>
      </c>
      <c r="H124" s="353">
        <v>1523</v>
      </c>
      <c r="I124" s="9" t="s">
        <v>34</v>
      </c>
      <c r="J124" s="10" t="s">
        <v>19</v>
      </c>
      <c r="K124" s="3">
        <v>4</v>
      </c>
      <c r="L124" s="3">
        <v>36</v>
      </c>
      <c r="M124" s="45"/>
      <c r="N124" s="3" t="s">
        <v>186</v>
      </c>
      <c r="O124" s="3" t="s">
        <v>186</v>
      </c>
      <c r="P124" s="3" t="s">
        <v>187</v>
      </c>
      <c r="Q124" s="3" t="s">
        <v>187</v>
      </c>
      <c r="R124" s="11" t="s">
        <v>196</v>
      </c>
      <c r="S124" s="3" t="s">
        <v>188</v>
      </c>
      <c r="T124" s="12" t="s">
        <v>45</v>
      </c>
      <c r="U124" s="12" t="s">
        <v>222</v>
      </c>
      <c r="V124" s="12"/>
      <c r="W124" s="12" t="s">
        <v>24</v>
      </c>
      <c r="X124" s="8" t="s">
        <v>19</v>
      </c>
      <c r="Y124" s="25" t="s">
        <v>69</v>
      </c>
      <c r="Z124" s="25" t="s">
        <v>184</v>
      </c>
      <c r="AA124" s="10" t="s">
        <v>443</v>
      </c>
      <c r="AB124" s="110" t="s">
        <v>37</v>
      </c>
      <c r="AC124" s="7">
        <f>92000000-20000000-6000000-21000000-15000000</f>
        <v>30000000</v>
      </c>
      <c r="AD124" s="7"/>
      <c r="AE124" s="7"/>
      <c r="AF124" s="7"/>
      <c r="AG124" s="7">
        <f t="shared" si="150"/>
        <v>0</v>
      </c>
      <c r="AH124" s="33"/>
      <c r="AI124" s="7">
        <f t="shared" si="151"/>
        <v>0</v>
      </c>
      <c r="AJ124" s="409"/>
      <c r="AK124" s="7">
        <f>100000000-10000000+20000000</f>
        <v>110000000</v>
      </c>
      <c r="AL124" s="33">
        <f>-30000000-30000000-20000000-30000000</f>
        <v>-110000000</v>
      </c>
      <c r="AM124" s="33">
        <v>1581556</v>
      </c>
      <c r="AN124" s="33">
        <v>-47814.16</v>
      </c>
      <c r="AO124" s="33">
        <v>0</v>
      </c>
      <c r="AP124" s="7">
        <f t="shared" si="132"/>
        <v>-47814.16</v>
      </c>
      <c r="AQ124" s="33">
        <v>75959.59</v>
      </c>
      <c r="AR124" s="33"/>
      <c r="AS124" s="7">
        <f t="shared" si="148"/>
        <v>75959.59</v>
      </c>
      <c r="AT124" s="33"/>
      <c r="AU124" s="33"/>
      <c r="AV124" s="7">
        <f t="shared" si="149"/>
        <v>0</v>
      </c>
      <c r="AW124" s="33"/>
      <c r="AX124" s="33"/>
      <c r="AY124" s="7">
        <f t="shared" si="107"/>
        <v>0</v>
      </c>
      <c r="AZ124" s="33"/>
      <c r="BA124" s="33"/>
      <c r="BB124" s="7">
        <f t="shared" si="135"/>
        <v>0</v>
      </c>
      <c r="BC124" s="33"/>
      <c r="BD124" s="33"/>
      <c r="BE124" s="7">
        <f t="shared" si="136"/>
        <v>0</v>
      </c>
      <c r="BF124" s="33"/>
      <c r="BG124" s="33"/>
      <c r="BH124" s="7">
        <f t="shared" si="137"/>
        <v>0</v>
      </c>
      <c r="BI124" s="33"/>
      <c r="BJ124" s="33"/>
      <c r="BK124" s="7">
        <f t="shared" si="138"/>
        <v>0</v>
      </c>
      <c r="BL124" s="33"/>
      <c r="BM124" s="33"/>
      <c r="BN124" s="7">
        <f t="shared" si="139"/>
        <v>0</v>
      </c>
      <c r="BO124" s="33"/>
      <c r="BP124" s="33"/>
      <c r="BQ124" s="7">
        <f t="shared" si="140"/>
        <v>0</v>
      </c>
      <c r="BR124" s="33"/>
      <c r="BS124" s="33"/>
      <c r="BT124" s="7">
        <f t="shared" si="141"/>
        <v>0</v>
      </c>
      <c r="BU124" s="33"/>
      <c r="BV124" s="33"/>
      <c r="BW124" s="7">
        <f t="shared" si="142"/>
        <v>0</v>
      </c>
      <c r="BX124" s="33"/>
      <c r="BY124" s="7">
        <f t="shared" si="109"/>
        <v>28145.429999999993</v>
      </c>
      <c r="BZ124" s="7">
        <f t="shared" si="110"/>
        <v>28145.429999999993</v>
      </c>
      <c r="CA124" s="33"/>
      <c r="CB124" s="7">
        <f t="shared" si="111"/>
        <v>1553410.57</v>
      </c>
      <c r="CC124" s="7">
        <f t="shared" si="112"/>
        <v>1553410.57</v>
      </c>
      <c r="CD124" s="15">
        <f t="shared" si="113"/>
        <v>1.7796037573124184E-2</v>
      </c>
      <c r="CE124" s="15">
        <f t="shared" si="114"/>
        <v>1.7796037573124184E-2</v>
      </c>
      <c r="CF124" s="450" t="s">
        <v>882</v>
      </c>
      <c r="CG124" s="33">
        <f>95000000-5000000</f>
        <v>90000000</v>
      </c>
      <c r="CH124" s="33">
        <f>95000000-25000000+10000000</f>
        <v>80000000</v>
      </c>
      <c r="CI124" s="33"/>
      <c r="CJ124" s="33"/>
      <c r="CK124" s="7"/>
      <c r="CL124" s="7">
        <f t="shared" si="115"/>
        <v>0</v>
      </c>
      <c r="CM124" s="7"/>
      <c r="CN124" s="7">
        <f>CM124</f>
        <v>0</v>
      </c>
      <c r="CO124" s="7"/>
      <c r="CP124" s="7"/>
      <c r="CQ124" s="7">
        <f t="shared" si="153"/>
        <v>0</v>
      </c>
      <c r="CR124" s="7">
        <f t="shared" si="117"/>
        <v>0</v>
      </c>
      <c r="CS124" s="7">
        <f t="shared" si="118"/>
        <v>0</v>
      </c>
      <c r="CT124" s="7"/>
      <c r="CU124" s="7"/>
      <c r="CV124" s="7"/>
      <c r="CW124" s="7"/>
      <c r="CX124" s="7"/>
      <c r="CY124" s="7">
        <f t="shared" si="154"/>
        <v>0</v>
      </c>
      <c r="CZ124" s="7"/>
      <c r="DA124" s="7"/>
      <c r="DB124" s="7">
        <f t="shared" si="155"/>
        <v>0</v>
      </c>
      <c r="DC124" s="7"/>
      <c r="DD124" s="7">
        <f t="shared" si="122"/>
        <v>0</v>
      </c>
      <c r="DE124" s="7"/>
      <c r="DF124" s="7">
        <f t="shared" si="123"/>
        <v>0</v>
      </c>
      <c r="DG124" s="7"/>
      <c r="DH124" s="7">
        <f t="shared" si="124"/>
        <v>0</v>
      </c>
      <c r="DI124" s="7"/>
      <c r="DJ124" s="7">
        <f t="shared" si="125"/>
        <v>0</v>
      </c>
      <c r="DK124" s="7"/>
      <c r="DL124" s="7">
        <f t="shared" si="126"/>
        <v>0</v>
      </c>
      <c r="DM124" s="7"/>
      <c r="DN124" s="7">
        <f t="shared" si="127"/>
        <v>0</v>
      </c>
      <c r="DO124" s="7"/>
      <c r="DP124" s="14">
        <f t="shared" si="152"/>
        <v>0</v>
      </c>
      <c r="DQ124" s="14"/>
      <c r="DR124" s="7"/>
      <c r="DS124" s="7">
        <f t="shared" si="156"/>
        <v>0</v>
      </c>
      <c r="DT124" s="7"/>
      <c r="DU124" s="15" t="e">
        <f t="shared" si="159"/>
        <v>#DIV/0!</v>
      </c>
      <c r="DV124" s="15"/>
      <c r="DW124" s="33">
        <v>150000000</v>
      </c>
      <c r="DX124" s="7"/>
      <c r="DY124" s="7"/>
      <c r="DZ124" s="27"/>
      <c r="EA124" s="319"/>
    </row>
    <row r="125" spans="1:131" s="10" customFormat="1" x14ac:dyDescent="0.25">
      <c r="A125" s="10" t="s">
        <v>82</v>
      </c>
      <c r="B125" s="24" t="s">
        <v>64</v>
      </c>
      <c r="C125" s="10" t="s">
        <v>649</v>
      </c>
      <c r="D125" s="24" t="s">
        <v>19</v>
      </c>
      <c r="E125" s="3">
        <v>525025</v>
      </c>
      <c r="F125" s="353">
        <v>4</v>
      </c>
      <c r="G125" s="353">
        <v>36</v>
      </c>
      <c r="H125" s="353">
        <v>1562</v>
      </c>
      <c r="I125" s="9" t="s">
        <v>34</v>
      </c>
      <c r="J125" s="10" t="s">
        <v>19</v>
      </c>
      <c r="K125" s="3"/>
      <c r="L125" s="3"/>
      <c r="M125" s="45"/>
      <c r="N125" s="3" t="s">
        <v>186</v>
      </c>
      <c r="O125" s="3" t="s">
        <v>186</v>
      </c>
      <c r="P125" s="3" t="s">
        <v>187</v>
      </c>
      <c r="Q125" s="3" t="s">
        <v>187</v>
      </c>
      <c r="R125" s="11" t="s">
        <v>196</v>
      </c>
      <c r="S125" s="3" t="s">
        <v>188</v>
      </c>
      <c r="T125" s="12" t="s">
        <v>45</v>
      </c>
      <c r="U125" s="12" t="s">
        <v>222</v>
      </c>
      <c r="V125" s="12"/>
      <c r="W125" s="12" t="s">
        <v>24</v>
      </c>
      <c r="X125" s="8" t="s">
        <v>19</v>
      </c>
      <c r="Y125" s="25" t="s">
        <v>69</v>
      </c>
      <c r="Z125" s="25" t="s">
        <v>184</v>
      </c>
      <c r="AA125" s="10" t="s">
        <v>752</v>
      </c>
      <c r="AB125" s="110" t="s">
        <v>37</v>
      </c>
      <c r="AC125" s="7">
        <f t="shared" ref="AC125:AC128" si="161">92000000-20000000-6000000-21000000-15000000</f>
        <v>30000000</v>
      </c>
      <c r="AD125" s="7"/>
      <c r="AE125" s="7"/>
      <c r="AF125" s="7"/>
      <c r="AG125" s="7">
        <f t="shared" ref="AG125:AG128" si="162">AE125+AF125</f>
        <v>0</v>
      </c>
      <c r="AH125" s="33"/>
      <c r="AI125" s="7">
        <f t="shared" ref="AI125:AI128" si="163">+AG125+AH125</f>
        <v>0</v>
      </c>
      <c r="AJ125" s="409"/>
      <c r="AK125" s="7"/>
      <c r="AL125" s="33">
        <v>30000000</v>
      </c>
      <c r="AM125" s="33">
        <f>AK125+AL125-1000000</f>
        <v>29000000</v>
      </c>
      <c r="AN125" s="12"/>
      <c r="AO125" s="33">
        <v>0</v>
      </c>
      <c r="AP125" s="7">
        <f t="shared" si="132"/>
        <v>0</v>
      </c>
      <c r="AQ125" s="12"/>
      <c r="AR125" s="33"/>
      <c r="AS125" s="7">
        <f t="shared" si="148"/>
        <v>0</v>
      </c>
      <c r="AT125" s="33"/>
      <c r="AU125" s="33"/>
      <c r="AV125" s="7">
        <f t="shared" si="149"/>
        <v>0</v>
      </c>
      <c r="AW125" s="33">
        <v>791918.6</v>
      </c>
      <c r="AX125" s="33">
        <v>110868.6</v>
      </c>
      <c r="AY125" s="7">
        <f t="shared" si="107"/>
        <v>902787.2</v>
      </c>
      <c r="AZ125" s="33"/>
      <c r="BA125" s="33"/>
      <c r="BB125" s="7">
        <f t="shared" ref="BB125:BB128" si="164">AZ125+BA125</f>
        <v>0</v>
      </c>
      <c r="BC125" s="33"/>
      <c r="BD125" s="33"/>
      <c r="BE125" s="7">
        <f t="shared" ref="BE125:BE128" si="165">BC125+BD125</f>
        <v>0</v>
      </c>
      <c r="BF125" s="33"/>
      <c r="BG125" s="33"/>
      <c r="BH125" s="7">
        <f t="shared" ref="BH125:BH128" si="166">BF125+BG125</f>
        <v>0</v>
      </c>
      <c r="BI125" s="33"/>
      <c r="BJ125" s="33"/>
      <c r="BK125" s="7">
        <f t="shared" ref="BK125:BK128" si="167">BI125+BJ125</f>
        <v>0</v>
      </c>
      <c r="BL125" s="33"/>
      <c r="BM125" s="33"/>
      <c r="BN125" s="7">
        <f t="shared" ref="BN125:BN128" si="168">BL125+BM125</f>
        <v>0</v>
      </c>
      <c r="BO125" s="33"/>
      <c r="BP125" s="33"/>
      <c r="BQ125" s="7">
        <f t="shared" ref="BQ125:BQ128" si="169">BO125+BP125</f>
        <v>0</v>
      </c>
      <c r="BR125" s="33"/>
      <c r="BS125" s="33"/>
      <c r="BT125" s="7">
        <f t="shared" ref="BT125:BT128" si="170">BR125+BS125</f>
        <v>0</v>
      </c>
      <c r="BU125" s="33"/>
      <c r="BV125" s="33"/>
      <c r="BW125" s="7">
        <f t="shared" ref="BW125:BW128" si="171">BU125+BV125</f>
        <v>0</v>
      </c>
      <c r="BX125" s="33">
        <v>2267071.9700000002</v>
      </c>
      <c r="BY125" s="7">
        <f t="shared" si="109"/>
        <v>791918.6</v>
      </c>
      <c r="BZ125" s="7">
        <f t="shared" ref="BZ125:BZ129" si="172">AP125+AS125+AV125+AY125+BB125+BE125+BH125+BK125+BN125+BQ125+BT125+BW125</f>
        <v>902787.2</v>
      </c>
      <c r="CA125" s="33"/>
      <c r="CB125" s="7">
        <f t="shared" ref="CB125:CB129" si="173">AM125-BY125</f>
        <v>28208081.399999999</v>
      </c>
      <c r="CC125" s="7">
        <f t="shared" ref="CC125:CC129" si="174">AM125-BZ125</f>
        <v>28097212.800000001</v>
      </c>
      <c r="CD125" s="15">
        <f t="shared" ref="CD125:CD129" si="175">BY125/AM125</f>
        <v>2.7307537931034482E-2</v>
      </c>
      <c r="CE125" s="15">
        <f t="shared" ref="CE125:CE129" si="176">BZ125/AM125</f>
        <v>3.1130593103448276E-2</v>
      </c>
      <c r="CF125" s="450" t="s">
        <v>854</v>
      </c>
      <c r="CG125" s="33">
        <f t="shared" ref="CG125:CG128" si="177">95000000-5000000</f>
        <v>90000000</v>
      </c>
      <c r="CH125" s="33">
        <f t="shared" ref="CH125:CH128" si="178">95000000-25000000+10000000</f>
        <v>80000000</v>
      </c>
      <c r="CI125" s="33"/>
      <c r="CJ125" s="33"/>
      <c r="CK125" s="7"/>
      <c r="CL125" s="7">
        <f t="shared" ref="CL125:CL128" si="179">CK125</f>
        <v>0</v>
      </c>
      <c r="CM125" s="7"/>
      <c r="CN125" s="7">
        <f t="shared" ref="CN125:CN128" si="180">CM125</f>
        <v>0</v>
      </c>
      <c r="CO125" s="7"/>
      <c r="CP125" s="7"/>
      <c r="CQ125" s="7">
        <f t="shared" ref="CQ125:CQ128" si="181">CO125+CP125</f>
        <v>0</v>
      </c>
      <c r="CR125" s="7">
        <f t="shared" ref="CR125:CR128" si="182">CK125+CM125+CO125</f>
        <v>0</v>
      </c>
      <c r="CS125" s="7">
        <f t="shared" ref="CS125:CS128" si="183">CL125+CN125+CQ125</f>
        <v>0</v>
      </c>
      <c r="CT125" s="7"/>
      <c r="CU125" s="7"/>
      <c r="CV125" s="7"/>
      <c r="CW125" s="7"/>
      <c r="CX125" s="7"/>
      <c r="CY125" s="7">
        <f t="shared" ref="CY125:CY128" si="184">CW125+CX125</f>
        <v>0</v>
      </c>
      <c r="CZ125" s="7"/>
      <c r="DA125" s="7"/>
      <c r="DB125" s="7">
        <f t="shared" ref="DB125:DB128" si="185">CZ125+DA125</f>
        <v>0</v>
      </c>
      <c r="DC125" s="7"/>
      <c r="DD125" s="7">
        <f t="shared" ref="DD125:DD128" si="186">DC125</f>
        <v>0</v>
      </c>
      <c r="DE125" s="7"/>
      <c r="DF125" s="7">
        <f t="shared" ref="DF125:DF128" si="187">DE125</f>
        <v>0</v>
      </c>
      <c r="DG125" s="7"/>
      <c r="DH125" s="7">
        <f t="shared" ref="DH125:DH128" si="188">DG125</f>
        <v>0</v>
      </c>
      <c r="DI125" s="7"/>
      <c r="DJ125" s="7">
        <f t="shared" ref="DJ125:DJ128" si="189">DI125</f>
        <v>0</v>
      </c>
      <c r="DK125" s="7"/>
      <c r="DL125" s="7">
        <f t="shared" ref="DL125:DL128" si="190">DK125</f>
        <v>0</v>
      </c>
      <c r="DM125" s="7"/>
      <c r="DN125" s="7">
        <f t="shared" ref="DN125:DN128" si="191">DM125</f>
        <v>0</v>
      </c>
      <c r="DO125" s="7"/>
      <c r="DP125" s="14">
        <f t="shared" ref="DP125:DP128" si="192">CK125+CM125+CO125+CT125+CW125+CZ125+DC125+DE125+DG125+DI125+DK125+DM125</f>
        <v>0</v>
      </c>
      <c r="DQ125" s="14"/>
      <c r="DR125" s="7"/>
      <c r="DS125" s="7">
        <f t="shared" ref="DS125:DS128" si="193">AG125-DP125</f>
        <v>0</v>
      </c>
      <c r="DT125" s="7"/>
      <c r="DU125" s="15" t="e">
        <f t="shared" ref="DU125:DU128" si="194">DP125/AG125</f>
        <v>#DIV/0!</v>
      </c>
      <c r="DV125" s="15"/>
      <c r="DW125" s="33">
        <v>150000000</v>
      </c>
      <c r="DX125" s="7"/>
      <c r="DY125" s="7"/>
      <c r="DZ125" s="27"/>
      <c r="EA125" s="319"/>
    </row>
    <row r="126" spans="1:131" s="10" customFormat="1" x14ac:dyDescent="0.25">
      <c r="A126" s="10" t="s">
        <v>82</v>
      </c>
      <c r="B126" s="24" t="s">
        <v>64</v>
      </c>
      <c r="C126" s="10" t="s">
        <v>649</v>
      </c>
      <c r="D126" s="24" t="s">
        <v>19</v>
      </c>
      <c r="E126" s="3">
        <v>525025</v>
      </c>
      <c r="F126" s="353">
        <v>4</v>
      </c>
      <c r="G126" s="353">
        <v>36</v>
      </c>
      <c r="H126" s="353">
        <v>1563</v>
      </c>
      <c r="I126" s="9" t="s">
        <v>34</v>
      </c>
      <c r="J126" s="10" t="s">
        <v>19</v>
      </c>
      <c r="K126" s="3"/>
      <c r="L126" s="3"/>
      <c r="M126" s="45"/>
      <c r="N126" s="3" t="s">
        <v>186</v>
      </c>
      <c r="O126" s="3" t="s">
        <v>186</v>
      </c>
      <c r="P126" s="3" t="s">
        <v>187</v>
      </c>
      <c r="Q126" s="3" t="s">
        <v>187</v>
      </c>
      <c r="R126" s="11" t="s">
        <v>196</v>
      </c>
      <c r="S126" s="3" t="s">
        <v>188</v>
      </c>
      <c r="T126" s="12" t="s">
        <v>45</v>
      </c>
      <c r="U126" s="12" t="s">
        <v>222</v>
      </c>
      <c r="V126" s="12"/>
      <c r="W126" s="12" t="s">
        <v>24</v>
      </c>
      <c r="X126" s="8" t="s">
        <v>19</v>
      </c>
      <c r="Y126" s="25" t="s">
        <v>69</v>
      </c>
      <c r="Z126" s="25" t="s">
        <v>184</v>
      </c>
      <c r="AA126" s="10" t="s">
        <v>257</v>
      </c>
      <c r="AB126" s="110" t="s">
        <v>37</v>
      </c>
      <c r="AC126" s="7">
        <f t="shared" si="161"/>
        <v>30000000</v>
      </c>
      <c r="AD126" s="7"/>
      <c r="AE126" s="7"/>
      <c r="AF126" s="7"/>
      <c r="AG126" s="7">
        <f t="shared" si="162"/>
        <v>0</v>
      </c>
      <c r="AH126" s="33"/>
      <c r="AI126" s="7">
        <f t="shared" si="163"/>
        <v>0</v>
      </c>
      <c r="AJ126" s="409"/>
      <c r="AK126" s="7"/>
      <c r="AL126" s="33">
        <v>30000000</v>
      </c>
      <c r="AM126" s="33">
        <f>AK126+AL126+2325132-1000000</f>
        <v>31325132</v>
      </c>
      <c r="AN126" s="33"/>
      <c r="AO126" s="33">
        <v>0</v>
      </c>
      <c r="AP126" s="7">
        <f t="shared" ref="AP126:AP128" si="195">AN126+AO126</f>
        <v>0</v>
      </c>
      <c r="AQ126" s="33">
        <v>1370589</v>
      </c>
      <c r="AR126" s="33">
        <v>175671.96</v>
      </c>
      <c r="AS126" s="7">
        <f t="shared" ref="AS126:AS128" si="196">AQ126+AR126</f>
        <v>1546260.96</v>
      </c>
      <c r="AT126" s="33">
        <v>279125.87</v>
      </c>
      <c r="AU126" s="33">
        <v>39077.620000000003</v>
      </c>
      <c r="AV126" s="7">
        <f t="shared" si="149"/>
        <v>318203.49</v>
      </c>
      <c r="AW126" s="33">
        <v>4769537.59</v>
      </c>
      <c r="AX126" s="33">
        <v>612733.41</v>
      </c>
      <c r="AY126" s="7">
        <f t="shared" si="107"/>
        <v>5382271</v>
      </c>
      <c r="AZ126" s="33"/>
      <c r="BA126" s="33"/>
      <c r="BB126" s="7">
        <f t="shared" si="164"/>
        <v>0</v>
      </c>
      <c r="BC126" s="33"/>
      <c r="BD126" s="33"/>
      <c r="BE126" s="7">
        <f t="shared" si="165"/>
        <v>0</v>
      </c>
      <c r="BF126" s="33"/>
      <c r="BG126" s="33"/>
      <c r="BH126" s="7">
        <f t="shared" si="166"/>
        <v>0</v>
      </c>
      <c r="BI126" s="33"/>
      <c r="BJ126" s="33"/>
      <c r="BK126" s="7">
        <f t="shared" si="167"/>
        <v>0</v>
      </c>
      <c r="BL126" s="33"/>
      <c r="BM126" s="33"/>
      <c r="BN126" s="7">
        <f t="shared" si="168"/>
        <v>0</v>
      </c>
      <c r="BO126" s="33"/>
      <c r="BP126" s="33"/>
      <c r="BQ126" s="7">
        <f t="shared" si="169"/>
        <v>0</v>
      </c>
      <c r="BR126" s="33"/>
      <c r="BS126" s="33"/>
      <c r="BT126" s="7">
        <f t="shared" si="170"/>
        <v>0</v>
      </c>
      <c r="BU126" s="33"/>
      <c r="BV126" s="33"/>
      <c r="BW126" s="7">
        <f t="shared" si="171"/>
        <v>0</v>
      </c>
      <c r="BX126" s="33"/>
      <c r="BY126" s="7">
        <f t="shared" ref="BY126:BY129" si="197">AN126+AQ126+AT126++AW126+AZ126+BC126+BF126+BI126+BL126+BO126+BR126+BU126</f>
        <v>6419252.46</v>
      </c>
      <c r="BZ126" s="7">
        <f t="shared" si="172"/>
        <v>7246735.4500000002</v>
      </c>
      <c r="CA126" s="33"/>
      <c r="CB126" s="7">
        <f t="shared" si="173"/>
        <v>24905879.539999999</v>
      </c>
      <c r="CC126" s="7">
        <f t="shared" si="174"/>
        <v>24078396.550000001</v>
      </c>
      <c r="CD126" s="15">
        <f t="shared" si="175"/>
        <v>0.20492339697084117</v>
      </c>
      <c r="CE126" s="15">
        <f t="shared" si="176"/>
        <v>0.23133934279989626</v>
      </c>
      <c r="CF126" s="450" t="s">
        <v>842</v>
      </c>
      <c r="CG126" s="33">
        <f t="shared" si="177"/>
        <v>90000000</v>
      </c>
      <c r="CH126" s="33">
        <f t="shared" si="178"/>
        <v>80000000</v>
      </c>
      <c r="CI126" s="33"/>
      <c r="CJ126" s="33"/>
      <c r="CK126" s="7"/>
      <c r="CL126" s="7">
        <f t="shared" si="179"/>
        <v>0</v>
      </c>
      <c r="CM126" s="7"/>
      <c r="CN126" s="7">
        <f t="shared" si="180"/>
        <v>0</v>
      </c>
      <c r="CO126" s="7"/>
      <c r="CP126" s="7"/>
      <c r="CQ126" s="7">
        <f t="shared" si="181"/>
        <v>0</v>
      </c>
      <c r="CR126" s="7">
        <f t="shared" si="182"/>
        <v>0</v>
      </c>
      <c r="CS126" s="7">
        <f t="shared" si="183"/>
        <v>0</v>
      </c>
      <c r="CT126" s="7"/>
      <c r="CU126" s="7"/>
      <c r="CV126" s="7"/>
      <c r="CW126" s="7"/>
      <c r="CX126" s="7"/>
      <c r="CY126" s="7">
        <f t="shared" si="184"/>
        <v>0</v>
      </c>
      <c r="CZ126" s="7"/>
      <c r="DA126" s="7"/>
      <c r="DB126" s="7">
        <f t="shared" si="185"/>
        <v>0</v>
      </c>
      <c r="DC126" s="7"/>
      <c r="DD126" s="7">
        <f t="shared" si="186"/>
        <v>0</v>
      </c>
      <c r="DE126" s="7"/>
      <c r="DF126" s="7">
        <f t="shared" si="187"/>
        <v>0</v>
      </c>
      <c r="DG126" s="7"/>
      <c r="DH126" s="7">
        <f t="shared" si="188"/>
        <v>0</v>
      </c>
      <c r="DI126" s="7"/>
      <c r="DJ126" s="7">
        <f t="shared" si="189"/>
        <v>0</v>
      </c>
      <c r="DK126" s="7"/>
      <c r="DL126" s="7">
        <f t="shared" si="190"/>
        <v>0</v>
      </c>
      <c r="DM126" s="7"/>
      <c r="DN126" s="7">
        <f t="shared" si="191"/>
        <v>0</v>
      </c>
      <c r="DO126" s="7"/>
      <c r="DP126" s="14">
        <f t="shared" si="192"/>
        <v>0</v>
      </c>
      <c r="DQ126" s="14"/>
      <c r="DR126" s="7"/>
      <c r="DS126" s="7">
        <f t="shared" si="193"/>
        <v>0</v>
      </c>
      <c r="DT126" s="7"/>
      <c r="DU126" s="15" t="e">
        <f t="shared" si="194"/>
        <v>#DIV/0!</v>
      </c>
      <c r="DV126" s="15"/>
      <c r="DW126" s="33">
        <v>150000000</v>
      </c>
      <c r="DX126" s="7"/>
      <c r="DY126" s="7"/>
      <c r="DZ126" s="27"/>
      <c r="EA126" s="319"/>
    </row>
    <row r="127" spans="1:131" s="10" customFormat="1" x14ac:dyDescent="0.25">
      <c r="A127" s="10" t="s">
        <v>82</v>
      </c>
      <c r="B127" s="24" t="s">
        <v>64</v>
      </c>
      <c r="C127" s="10" t="s">
        <v>649</v>
      </c>
      <c r="D127" s="24" t="s">
        <v>19</v>
      </c>
      <c r="E127" s="3">
        <v>525025</v>
      </c>
      <c r="F127" s="353">
        <v>4</v>
      </c>
      <c r="G127" s="353">
        <v>36</v>
      </c>
      <c r="H127" s="353">
        <v>1564</v>
      </c>
      <c r="I127" s="9" t="s">
        <v>34</v>
      </c>
      <c r="J127" s="10" t="s">
        <v>19</v>
      </c>
      <c r="K127" s="3"/>
      <c r="L127" s="3"/>
      <c r="M127" s="45"/>
      <c r="N127" s="3" t="s">
        <v>186</v>
      </c>
      <c r="O127" s="3" t="s">
        <v>186</v>
      </c>
      <c r="P127" s="3" t="s">
        <v>187</v>
      </c>
      <c r="Q127" s="3" t="s">
        <v>187</v>
      </c>
      <c r="R127" s="11" t="s">
        <v>196</v>
      </c>
      <c r="S127" s="3" t="s">
        <v>188</v>
      </c>
      <c r="T127" s="12" t="s">
        <v>45</v>
      </c>
      <c r="U127" s="12" t="s">
        <v>222</v>
      </c>
      <c r="V127" s="12"/>
      <c r="W127" s="12" t="s">
        <v>24</v>
      </c>
      <c r="X127" s="8" t="s">
        <v>19</v>
      </c>
      <c r="Y127" s="25" t="s">
        <v>69</v>
      </c>
      <c r="Z127" s="25" t="s">
        <v>184</v>
      </c>
      <c r="AA127" s="10" t="s">
        <v>753</v>
      </c>
      <c r="AB127" s="110" t="s">
        <v>37</v>
      </c>
      <c r="AC127" s="7">
        <f t="shared" si="161"/>
        <v>30000000</v>
      </c>
      <c r="AD127" s="7"/>
      <c r="AE127" s="7"/>
      <c r="AF127" s="7"/>
      <c r="AG127" s="7">
        <f t="shared" si="162"/>
        <v>0</v>
      </c>
      <c r="AH127" s="33"/>
      <c r="AI127" s="7">
        <f t="shared" si="163"/>
        <v>0</v>
      </c>
      <c r="AJ127" s="409"/>
      <c r="AK127" s="7"/>
      <c r="AL127" s="33">
        <v>20000000</v>
      </c>
      <c r="AM127" s="33">
        <f>AK127+AL127+463013</f>
        <v>20463013</v>
      </c>
      <c r="AN127" s="33"/>
      <c r="AO127" s="33">
        <v>0</v>
      </c>
      <c r="AP127" s="7">
        <f t="shared" si="195"/>
        <v>0</v>
      </c>
      <c r="AQ127" s="33">
        <v>1170655.3899999999</v>
      </c>
      <c r="AR127" s="33">
        <v>163891.76</v>
      </c>
      <c r="AS127" s="7">
        <f t="shared" si="196"/>
        <v>1334547.1499999999</v>
      </c>
      <c r="AT127" s="33">
        <v>318205.64</v>
      </c>
      <c r="AU127" s="33">
        <v>44548.79</v>
      </c>
      <c r="AV127" s="7">
        <f t="shared" si="149"/>
        <v>362754.43</v>
      </c>
      <c r="AW127" s="33">
        <v>322430.40000000002</v>
      </c>
      <c r="AX127" s="33">
        <v>45140.26</v>
      </c>
      <c r="AY127" s="7">
        <f t="shared" si="107"/>
        <v>367570.66000000003</v>
      </c>
      <c r="AZ127" s="33"/>
      <c r="BA127" s="33"/>
      <c r="BB127" s="7">
        <f t="shared" si="164"/>
        <v>0</v>
      </c>
      <c r="BC127" s="33"/>
      <c r="BD127" s="33"/>
      <c r="BE127" s="7">
        <f t="shared" si="165"/>
        <v>0</v>
      </c>
      <c r="BF127" s="33"/>
      <c r="BG127" s="33"/>
      <c r="BH127" s="7">
        <f t="shared" si="166"/>
        <v>0</v>
      </c>
      <c r="BI127" s="33"/>
      <c r="BJ127" s="33"/>
      <c r="BK127" s="7">
        <f t="shared" si="167"/>
        <v>0</v>
      </c>
      <c r="BL127" s="33"/>
      <c r="BM127" s="33"/>
      <c r="BN127" s="7">
        <f t="shared" si="168"/>
        <v>0</v>
      </c>
      <c r="BO127" s="33"/>
      <c r="BP127" s="33"/>
      <c r="BQ127" s="7">
        <f t="shared" si="169"/>
        <v>0</v>
      </c>
      <c r="BR127" s="33"/>
      <c r="BS127" s="33"/>
      <c r="BT127" s="7">
        <f t="shared" si="170"/>
        <v>0</v>
      </c>
      <c r="BU127" s="33"/>
      <c r="BV127" s="33"/>
      <c r="BW127" s="7">
        <f t="shared" si="171"/>
        <v>0</v>
      </c>
      <c r="BX127" s="33"/>
      <c r="BY127" s="7">
        <f t="shared" si="197"/>
        <v>1811291.4299999997</v>
      </c>
      <c r="BZ127" s="7">
        <f t="shared" si="172"/>
        <v>2064872.2399999998</v>
      </c>
      <c r="CA127" s="33"/>
      <c r="CB127" s="7">
        <f t="shared" si="173"/>
        <v>18651721.57</v>
      </c>
      <c r="CC127" s="7">
        <f t="shared" si="174"/>
        <v>18398140.760000002</v>
      </c>
      <c r="CD127" s="15">
        <f t="shared" si="175"/>
        <v>8.8515382851977839E-2</v>
      </c>
      <c r="CE127" s="15">
        <f t="shared" si="176"/>
        <v>0.1009075369301676</v>
      </c>
      <c r="CF127" s="450" t="s">
        <v>883</v>
      </c>
      <c r="CG127" s="33">
        <f t="shared" si="177"/>
        <v>90000000</v>
      </c>
      <c r="CH127" s="33">
        <f t="shared" si="178"/>
        <v>80000000</v>
      </c>
      <c r="CI127" s="33"/>
      <c r="CJ127" s="33"/>
      <c r="CK127" s="7"/>
      <c r="CL127" s="7">
        <f t="shared" si="179"/>
        <v>0</v>
      </c>
      <c r="CM127" s="7"/>
      <c r="CN127" s="7">
        <f t="shared" si="180"/>
        <v>0</v>
      </c>
      <c r="CO127" s="7"/>
      <c r="CP127" s="7"/>
      <c r="CQ127" s="7">
        <f t="shared" si="181"/>
        <v>0</v>
      </c>
      <c r="CR127" s="7">
        <f t="shared" si="182"/>
        <v>0</v>
      </c>
      <c r="CS127" s="7">
        <f t="shared" si="183"/>
        <v>0</v>
      </c>
      <c r="CT127" s="7"/>
      <c r="CU127" s="7"/>
      <c r="CV127" s="7"/>
      <c r="CW127" s="7"/>
      <c r="CX127" s="7"/>
      <c r="CY127" s="7">
        <f t="shared" si="184"/>
        <v>0</v>
      </c>
      <c r="CZ127" s="7"/>
      <c r="DA127" s="7"/>
      <c r="DB127" s="7">
        <f t="shared" si="185"/>
        <v>0</v>
      </c>
      <c r="DC127" s="7"/>
      <c r="DD127" s="7">
        <f t="shared" si="186"/>
        <v>0</v>
      </c>
      <c r="DE127" s="7"/>
      <c r="DF127" s="7">
        <f t="shared" si="187"/>
        <v>0</v>
      </c>
      <c r="DG127" s="7"/>
      <c r="DH127" s="7">
        <f t="shared" si="188"/>
        <v>0</v>
      </c>
      <c r="DI127" s="7"/>
      <c r="DJ127" s="7">
        <f t="shared" si="189"/>
        <v>0</v>
      </c>
      <c r="DK127" s="7"/>
      <c r="DL127" s="7">
        <f t="shared" si="190"/>
        <v>0</v>
      </c>
      <c r="DM127" s="7"/>
      <c r="DN127" s="7">
        <f t="shared" si="191"/>
        <v>0</v>
      </c>
      <c r="DO127" s="7"/>
      <c r="DP127" s="14">
        <f t="shared" si="192"/>
        <v>0</v>
      </c>
      <c r="DQ127" s="14"/>
      <c r="DR127" s="7"/>
      <c r="DS127" s="7">
        <f t="shared" si="193"/>
        <v>0</v>
      </c>
      <c r="DT127" s="7"/>
      <c r="DU127" s="15" t="e">
        <f t="shared" si="194"/>
        <v>#DIV/0!</v>
      </c>
      <c r="DV127" s="15"/>
      <c r="DW127" s="33">
        <v>150000000</v>
      </c>
      <c r="DX127" s="7"/>
      <c r="DY127" s="7"/>
      <c r="DZ127" s="27"/>
      <c r="EA127" s="319"/>
    </row>
    <row r="128" spans="1:131" s="10" customFormat="1" ht="30.75" x14ac:dyDescent="0.25">
      <c r="A128" s="10" t="s">
        <v>82</v>
      </c>
      <c r="B128" s="24" t="s">
        <v>64</v>
      </c>
      <c r="C128" s="10" t="s">
        <v>649</v>
      </c>
      <c r="D128" s="24" t="s">
        <v>19</v>
      </c>
      <c r="E128" s="3">
        <v>525025</v>
      </c>
      <c r="F128" s="353">
        <v>4</v>
      </c>
      <c r="G128" s="353">
        <v>36</v>
      </c>
      <c r="H128" s="353">
        <v>1565</v>
      </c>
      <c r="I128" s="9" t="s">
        <v>34</v>
      </c>
      <c r="J128" s="10" t="s">
        <v>19</v>
      </c>
      <c r="K128" s="3"/>
      <c r="L128" s="3"/>
      <c r="M128" s="45"/>
      <c r="N128" s="3" t="s">
        <v>186</v>
      </c>
      <c r="O128" s="3" t="s">
        <v>186</v>
      </c>
      <c r="P128" s="3" t="s">
        <v>187</v>
      </c>
      <c r="Q128" s="3" t="s">
        <v>187</v>
      </c>
      <c r="R128" s="11" t="s">
        <v>196</v>
      </c>
      <c r="S128" s="3" t="s">
        <v>188</v>
      </c>
      <c r="T128" s="12" t="s">
        <v>45</v>
      </c>
      <c r="U128" s="12" t="s">
        <v>222</v>
      </c>
      <c r="V128" s="12"/>
      <c r="W128" s="12" t="s">
        <v>24</v>
      </c>
      <c r="X128" s="8" t="s">
        <v>19</v>
      </c>
      <c r="Y128" s="25" t="s">
        <v>69</v>
      </c>
      <c r="Z128" s="25" t="s">
        <v>184</v>
      </c>
      <c r="AA128" s="10" t="s">
        <v>754</v>
      </c>
      <c r="AB128" s="110" t="s">
        <v>37</v>
      </c>
      <c r="AC128" s="7">
        <f t="shared" si="161"/>
        <v>30000000</v>
      </c>
      <c r="AD128" s="7"/>
      <c r="AE128" s="7"/>
      <c r="AF128" s="7"/>
      <c r="AG128" s="7">
        <f t="shared" si="162"/>
        <v>0</v>
      </c>
      <c r="AH128" s="33"/>
      <c r="AI128" s="7">
        <f t="shared" si="163"/>
        <v>0</v>
      </c>
      <c r="AJ128" s="409"/>
      <c r="AK128" s="7"/>
      <c r="AL128" s="33">
        <v>30000000</v>
      </c>
      <c r="AM128" s="33">
        <f>AK128+AL128-1431601-1581556-3063757-463013-445804-2325132-1000000</f>
        <v>19689137</v>
      </c>
      <c r="AN128" s="33"/>
      <c r="AO128" s="33">
        <v>0</v>
      </c>
      <c r="AP128" s="7">
        <f t="shared" si="195"/>
        <v>0</v>
      </c>
      <c r="AQ128" s="33">
        <v>153007.76</v>
      </c>
      <c r="AR128" s="33">
        <v>21421.09</v>
      </c>
      <c r="AS128" s="7">
        <f t="shared" si="196"/>
        <v>174428.85</v>
      </c>
      <c r="AT128" s="33">
        <v>209352.69</v>
      </c>
      <c r="AU128" s="33">
        <v>29309.38</v>
      </c>
      <c r="AV128" s="7">
        <f t="shared" si="149"/>
        <v>238662.07</v>
      </c>
      <c r="AW128" s="33">
        <v>694059.61</v>
      </c>
      <c r="AX128" s="33">
        <v>97168.35</v>
      </c>
      <c r="AY128" s="7">
        <f t="shared" si="107"/>
        <v>791227.96</v>
      </c>
      <c r="AZ128" s="33"/>
      <c r="BA128" s="33"/>
      <c r="BB128" s="7">
        <f t="shared" si="164"/>
        <v>0</v>
      </c>
      <c r="BC128" s="33"/>
      <c r="BD128" s="33"/>
      <c r="BE128" s="7">
        <f t="shared" si="165"/>
        <v>0</v>
      </c>
      <c r="BF128" s="33"/>
      <c r="BG128" s="33"/>
      <c r="BH128" s="7">
        <f t="shared" si="166"/>
        <v>0</v>
      </c>
      <c r="BI128" s="33"/>
      <c r="BJ128" s="33"/>
      <c r="BK128" s="7">
        <f t="shared" si="167"/>
        <v>0</v>
      </c>
      <c r="BL128" s="33"/>
      <c r="BM128" s="33"/>
      <c r="BN128" s="7">
        <f t="shared" si="168"/>
        <v>0</v>
      </c>
      <c r="BO128" s="33"/>
      <c r="BP128" s="33"/>
      <c r="BQ128" s="7">
        <f t="shared" si="169"/>
        <v>0</v>
      </c>
      <c r="BR128" s="33"/>
      <c r="BS128" s="33"/>
      <c r="BT128" s="7">
        <f t="shared" si="170"/>
        <v>0</v>
      </c>
      <c r="BU128" s="33"/>
      <c r="BV128" s="33"/>
      <c r="BW128" s="7">
        <f t="shared" si="171"/>
        <v>0</v>
      </c>
      <c r="BX128" s="33"/>
      <c r="BY128" s="7">
        <f t="shared" si="197"/>
        <v>1056420.06</v>
      </c>
      <c r="BZ128" s="7">
        <f t="shared" si="172"/>
        <v>1204318.8799999999</v>
      </c>
      <c r="CA128" s="33"/>
      <c r="CB128" s="7">
        <f t="shared" si="173"/>
        <v>18632716.940000001</v>
      </c>
      <c r="CC128" s="7">
        <f t="shared" si="174"/>
        <v>18484818.120000001</v>
      </c>
      <c r="CD128" s="15">
        <f t="shared" si="175"/>
        <v>5.3654970250854576E-2</v>
      </c>
      <c r="CE128" s="15">
        <f t="shared" si="176"/>
        <v>6.1166666675131563E-2</v>
      </c>
      <c r="CF128" s="450" t="s">
        <v>843</v>
      </c>
      <c r="CG128" s="33">
        <f t="shared" si="177"/>
        <v>90000000</v>
      </c>
      <c r="CH128" s="33">
        <f t="shared" si="178"/>
        <v>80000000</v>
      </c>
      <c r="CI128" s="33"/>
      <c r="CJ128" s="33"/>
      <c r="CK128" s="7"/>
      <c r="CL128" s="7">
        <f t="shared" si="179"/>
        <v>0</v>
      </c>
      <c r="CM128" s="7"/>
      <c r="CN128" s="7">
        <f t="shared" si="180"/>
        <v>0</v>
      </c>
      <c r="CO128" s="7"/>
      <c r="CP128" s="7"/>
      <c r="CQ128" s="7">
        <f t="shared" si="181"/>
        <v>0</v>
      </c>
      <c r="CR128" s="7">
        <f t="shared" si="182"/>
        <v>0</v>
      </c>
      <c r="CS128" s="7">
        <f t="shared" si="183"/>
        <v>0</v>
      </c>
      <c r="CT128" s="7"/>
      <c r="CU128" s="7"/>
      <c r="CV128" s="7"/>
      <c r="CW128" s="7"/>
      <c r="CX128" s="7"/>
      <c r="CY128" s="7">
        <f t="shared" si="184"/>
        <v>0</v>
      </c>
      <c r="CZ128" s="7"/>
      <c r="DA128" s="7"/>
      <c r="DB128" s="7">
        <f t="shared" si="185"/>
        <v>0</v>
      </c>
      <c r="DC128" s="7"/>
      <c r="DD128" s="7">
        <f t="shared" si="186"/>
        <v>0</v>
      </c>
      <c r="DE128" s="7"/>
      <c r="DF128" s="7">
        <f t="shared" si="187"/>
        <v>0</v>
      </c>
      <c r="DG128" s="7"/>
      <c r="DH128" s="7">
        <f t="shared" si="188"/>
        <v>0</v>
      </c>
      <c r="DI128" s="7"/>
      <c r="DJ128" s="7">
        <f t="shared" si="189"/>
        <v>0</v>
      </c>
      <c r="DK128" s="7"/>
      <c r="DL128" s="7">
        <f t="shared" si="190"/>
        <v>0</v>
      </c>
      <c r="DM128" s="7"/>
      <c r="DN128" s="7">
        <f t="shared" si="191"/>
        <v>0</v>
      </c>
      <c r="DO128" s="7"/>
      <c r="DP128" s="14">
        <f t="shared" si="192"/>
        <v>0</v>
      </c>
      <c r="DQ128" s="14"/>
      <c r="DR128" s="7"/>
      <c r="DS128" s="7">
        <f t="shared" si="193"/>
        <v>0</v>
      </c>
      <c r="DT128" s="7"/>
      <c r="DU128" s="15" t="e">
        <f t="shared" si="194"/>
        <v>#DIV/0!</v>
      </c>
      <c r="DV128" s="15"/>
      <c r="DW128" s="33">
        <v>150000000</v>
      </c>
      <c r="DX128" s="7"/>
      <c r="DY128" s="7"/>
      <c r="DZ128" s="27"/>
      <c r="EA128" s="319"/>
    </row>
    <row r="129" spans="1:131" s="10" customFormat="1" x14ac:dyDescent="0.25">
      <c r="A129" s="10" t="s">
        <v>82</v>
      </c>
      <c r="B129" s="24"/>
      <c r="C129" s="10" t="s">
        <v>649</v>
      </c>
      <c r="D129" s="24" t="s">
        <v>19</v>
      </c>
      <c r="E129" s="3">
        <v>525025</v>
      </c>
      <c r="F129" s="353">
        <v>4</v>
      </c>
      <c r="G129" s="353">
        <v>36</v>
      </c>
      <c r="H129" s="353">
        <v>1567</v>
      </c>
      <c r="I129" s="9" t="s">
        <v>34</v>
      </c>
      <c r="J129" s="10" t="s">
        <v>19</v>
      </c>
      <c r="K129" s="3"/>
      <c r="L129" s="3"/>
      <c r="M129" s="45"/>
      <c r="N129" s="11" t="s">
        <v>186</v>
      </c>
      <c r="O129" s="11" t="s">
        <v>186</v>
      </c>
      <c r="P129" s="11" t="s">
        <v>187</v>
      </c>
      <c r="Q129" s="11" t="s">
        <v>187</v>
      </c>
      <c r="R129" s="11" t="s">
        <v>196</v>
      </c>
      <c r="S129" s="11" t="s">
        <v>188</v>
      </c>
      <c r="T129" s="12" t="s">
        <v>45</v>
      </c>
      <c r="U129" s="12" t="s">
        <v>222</v>
      </c>
      <c r="V129" s="12"/>
      <c r="W129" s="12" t="s">
        <v>24</v>
      </c>
      <c r="X129" s="8" t="s">
        <v>19</v>
      </c>
      <c r="Y129" s="25" t="s">
        <v>69</v>
      </c>
      <c r="Z129" s="25"/>
      <c r="AA129" s="10" t="s">
        <v>774</v>
      </c>
      <c r="AB129" s="110" t="s">
        <v>37</v>
      </c>
      <c r="AC129" s="7"/>
      <c r="AD129" s="7"/>
      <c r="AE129" s="7"/>
      <c r="AF129" s="7"/>
      <c r="AG129" s="7"/>
      <c r="AH129" s="33"/>
      <c r="AI129" s="7"/>
      <c r="AJ129" s="409"/>
      <c r="AK129" s="7"/>
      <c r="AL129" s="33"/>
      <c r="AM129" s="33">
        <f>1431601+1000000+1000000+1000000</f>
        <v>4431601</v>
      </c>
      <c r="AN129" s="33"/>
      <c r="AO129" s="33"/>
      <c r="AP129" s="7"/>
      <c r="AQ129" s="33"/>
      <c r="AR129" s="33"/>
      <c r="AS129" s="7"/>
      <c r="AT129" s="33"/>
      <c r="AU129" s="33"/>
      <c r="AV129" s="7"/>
      <c r="AW129" s="33"/>
      <c r="AX129" s="33"/>
      <c r="AY129" s="7">
        <f t="shared" si="107"/>
        <v>0</v>
      </c>
      <c r="AZ129" s="33"/>
      <c r="BA129" s="33"/>
      <c r="BB129" s="7"/>
      <c r="BC129" s="33"/>
      <c r="BD129" s="33"/>
      <c r="BE129" s="7"/>
      <c r="BF129" s="33"/>
      <c r="BG129" s="33"/>
      <c r="BH129" s="7"/>
      <c r="BI129" s="33"/>
      <c r="BJ129" s="33"/>
      <c r="BK129" s="7"/>
      <c r="BL129" s="33"/>
      <c r="BM129" s="33"/>
      <c r="BN129" s="7"/>
      <c r="BO129" s="33"/>
      <c r="BP129" s="33"/>
      <c r="BQ129" s="7"/>
      <c r="BR129" s="33"/>
      <c r="BS129" s="33"/>
      <c r="BT129" s="7"/>
      <c r="BU129" s="33"/>
      <c r="BV129" s="33"/>
      <c r="BW129" s="7"/>
      <c r="BX129" s="33">
        <v>1419003.47</v>
      </c>
      <c r="BY129" s="7">
        <f t="shared" si="197"/>
        <v>0</v>
      </c>
      <c r="BZ129" s="7">
        <f t="shared" si="172"/>
        <v>0</v>
      </c>
      <c r="CA129" s="33"/>
      <c r="CB129" s="7">
        <f t="shared" si="173"/>
        <v>4431601</v>
      </c>
      <c r="CC129" s="7">
        <f t="shared" si="174"/>
        <v>4431601</v>
      </c>
      <c r="CD129" s="15">
        <f t="shared" si="175"/>
        <v>0</v>
      </c>
      <c r="CE129" s="15">
        <f t="shared" si="176"/>
        <v>0</v>
      </c>
      <c r="CF129" s="10" t="s">
        <v>841</v>
      </c>
      <c r="CG129" s="33"/>
      <c r="CH129" s="33"/>
      <c r="CI129" s="33"/>
      <c r="CJ129" s="33"/>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14"/>
      <c r="DQ129" s="14"/>
      <c r="DR129" s="7"/>
      <c r="DS129" s="7"/>
      <c r="DT129" s="7"/>
      <c r="DU129" s="15"/>
      <c r="DV129" s="15"/>
      <c r="DW129" s="33"/>
      <c r="DX129" s="7"/>
      <c r="DY129" s="7"/>
      <c r="DZ129" s="27"/>
      <c r="EA129" s="319"/>
    </row>
    <row r="130" spans="1:131" s="10" customFormat="1" x14ac:dyDescent="0.25">
      <c r="A130" s="10" t="s">
        <v>82</v>
      </c>
      <c r="B130" s="24" t="s">
        <v>64</v>
      </c>
      <c r="C130" s="10" t="s">
        <v>649</v>
      </c>
      <c r="D130" s="24" t="s">
        <v>19</v>
      </c>
      <c r="E130" s="3">
        <v>525025</v>
      </c>
      <c r="F130" s="353">
        <v>4</v>
      </c>
      <c r="G130" s="353">
        <v>36</v>
      </c>
      <c r="H130" s="353">
        <v>1524</v>
      </c>
      <c r="I130" s="9" t="s">
        <v>34</v>
      </c>
      <c r="J130" s="10" t="s">
        <v>19</v>
      </c>
      <c r="K130" s="3">
        <v>4</v>
      </c>
      <c r="L130" s="3">
        <v>36</v>
      </c>
      <c r="M130" s="45"/>
      <c r="N130" s="3" t="s">
        <v>186</v>
      </c>
      <c r="O130" s="3" t="s">
        <v>186</v>
      </c>
      <c r="P130" s="3" t="s">
        <v>187</v>
      </c>
      <c r="Q130" s="3" t="s">
        <v>187</v>
      </c>
      <c r="R130" s="11" t="s">
        <v>196</v>
      </c>
      <c r="S130" s="3" t="s">
        <v>188</v>
      </c>
      <c r="T130" s="12" t="s">
        <v>519</v>
      </c>
      <c r="U130" s="12"/>
      <c r="V130" s="12" t="s">
        <v>222</v>
      </c>
      <c r="W130" s="12" t="s">
        <v>24</v>
      </c>
      <c r="X130" s="8" t="s">
        <v>19</v>
      </c>
      <c r="Y130" s="25" t="s">
        <v>69</v>
      </c>
      <c r="Z130" s="25" t="s">
        <v>145</v>
      </c>
      <c r="AA130" s="10" t="s">
        <v>444</v>
      </c>
      <c r="AB130" s="110" t="s">
        <v>37</v>
      </c>
      <c r="AC130" s="7">
        <f>53000000-16000000-15000000-16000000-6000000</f>
        <v>0</v>
      </c>
      <c r="AD130" s="7"/>
      <c r="AE130" s="7"/>
      <c r="AF130" s="7"/>
      <c r="AG130" s="7">
        <f t="shared" si="150"/>
        <v>0</v>
      </c>
      <c r="AH130" s="33"/>
      <c r="AI130" s="7">
        <f t="shared" si="151"/>
        <v>0</v>
      </c>
      <c r="AJ130" s="409"/>
      <c r="AK130" s="7">
        <f>70000000-2500000-14500000</f>
        <v>53000000</v>
      </c>
      <c r="AL130" s="33"/>
      <c r="AM130" s="33">
        <f>AK130+AL130+3063757</f>
        <v>56063757</v>
      </c>
      <c r="AN130" s="33">
        <v>0</v>
      </c>
      <c r="AO130" s="33">
        <v>0</v>
      </c>
      <c r="AP130" s="7">
        <f t="shared" si="132"/>
        <v>0</v>
      </c>
      <c r="AQ130" s="33">
        <v>5803174.7599999998</v>
      </c>
      <c r="AR130" s="33">
        <v>783490.07</v>
      </c>
      <c r="AS130" s="7">
        <f t="shared" si="148"/>
        <v>6586664.8300000001</v>
      </c>
      <c r="AT130" s="33">
        <v>16914156.710000001</v>
      </c>
      <c r="AU130" s="33">
        <v>1582124.54</v>
      </c>
      <c r="AV130" s="7">
        <f t="shared" si="149"/>
        <v>18496281.25</v>
      </c>
      <c r="AW130" s="33">
        <v>15681456.24</v>
      </c>
      <c r="AX130" s="33">
        <v>2086278.72</v>
      </c>
      <c r="AY130" s="7">
        <f t="shared" si="107"/>
        <v>17767734.960000001</v>
      </c>
      <c r="AZ130" s="33"/>
      <c r="BA130" s="33"/>
      <c r="BB130" s="7">
        <f t="shared" si="135"/>
        <v>0</v>
      </c>
      <c r="BC130" s="33"/>
      <c r="BD130" s="33"/>
      <c r="BE130" s="7">
        <f t="shared" si="136"/>
        <v>0</v>
      </c>
      <c r="BF130" s="33"/>
      <c r="BG130" s="33"/>
      <c r="BH130" s="7">
        <f t="shared" si="137"/>
        <v>0</v>
      </c>
      <c r="BI130" s="33"/>
      <c r="BJ130" s="33"/>
      <c r="BK130" s="7">
        <f t="shared" si="138"/>
        <v>0</v>
      </c>
      <c r="BL130" s="33"/>
      <c r="BM130" s="33"/>
      <c r="BN130" s="7">
        <f t="shared" si="139"/>
        <v>0</v>
      </c>
      <c r="BO130" s="33"/>
      <c r="BP130" s="33"/>
      <c r="BQ130" s="7">
        <f t="shared" si="140"/>
        <v>0</v>
      </c>
      <c r="BR130" s="33"/>
      <c r="BS130" s="33"/>
      <c r="BT130" s="7">
        <f t="shared" si="141"/>
        <v>0</v>
      </c>
      <c r="BU130" s="33"/>
      <c r="BV130" s="33"/>
      <c r="BW130" s="7">
        <f t="shared" si="142"/>
        <v>0</v>
      </c>
      <c r="BX130" s="33">
        <v>1961765.07</v>
      </c>
      <c r="BY130" s="7">
        <f t="shared" si="109"/>
        <v>38398787.710000001</v>
      </c>
      <c r="BZ130" s="7">
        <f t="shared" si="110"/>
        <v>42850681.039999999</v>
      </c>
      <c r="CA130" s="33"/>
      <c r="CB130" s="7">
        <f t="shared" si="111"/>
        <v>17664969.289999999</v>
      </c>
      <c r="CC130" s="7">
        <f t="shared" si="112"/>
        <v>13213075.960000001</v>
      </c>
      <c r="CD130" s="15">
        <f t="shared" si="113"/>
        <v>0.68491285216579401</v>
      </c>
      <c r="CE130" s="15">
        <f t="shared" si="114"/>
        <v>0.76432054027346041</v>
      </c>
      <c r="CF130" s="450" t="s">
        <v>853</v>
      </c>
      <c r="CG130" s="33">
        <f>70000000-10000000</f>
        <v>60000000</v>
      </c>
      <c r="CH130" s="33">
        <f>70000000-10000000</f>
        <v>60000000</v>
      </c>
      <c r="CI130" s="33"/>
      <c r="CJ130" s="33"/>
      <c r="CK130" s="7"/>
      <c r="CL130" s="7">
        <f t="shared" si="115"/>
        <v>0</v>
      </c>
      <c r="CM130" s="7"/>
      <c r="CN130" s="7">
        <f>CM130</f>
        <v>0</v>
      </c>
      <c r="CO130" s="7"/>
      <c r="CP130" s="7"/>
      <c r="CQ130" s="7">
        <f t="shared" si="153"/>
        <v>0</v>
      </c>
      <c r="CR130" s="7">
        <f t="shared" si="117"/>
        <v>0</v>
      </c>
      <c r="CS130" s="7">
        <f t="shared" si="118"/>
        <v>0</v>
      </c>
      <c r="CT130" s="7"/>
      <c r="CU130" s="7"/>
      <c r="CV130" s="7">
        <f t="shared" si="119"/>
        <v>0</v>
      </c>
      <c r="CW130" s="7"/>
      <c r="CX130" s="7"/>
      <c r="CY130" s="7">
        <f t="shared" si="154"/>
        <v>0</v>
      </c>
      <c r="CZ130" s="7"/>
      <c r="DA130" s="7"/>
      <c r="DB130" s="7">
        <f t="shared" si="155"/>
        <v>0</v>
      </c>
      <c r="DC130" s="7"/>
      <c r="DD130" s="7"/>
      <c r="DE130" s="7"/>
      <c r="DF130" s="7"/>
      <c r="DG130" s="7"/>
      <c r="DH130" s="7"/>
      <c r="DI130" s="7"/>
      <c r="DJ130" s="7"/>
      <c r="DK130" s="7"/>
      <c r="DL130" s="7"/>
      <c r="DM130" s="7"/>
      <c r="DN130" s="7"/>
      <c r="DO130" s="7"/>
      <c r="DP130" s="14">
        <f t="shared" si="152"/>
        <v>0</v>
      </c>
      <c r="DQ130" s="14"/>
      <c r="DR130" s="7"/>
      <c r="DS130" s="7">
        <f t="shared" si="156"/>
        <v>0</v>
      </c>
      <c r="DT130" s="7"/>
      <c r="DU130" s="15">
        <v>0</v>
      </c>
      <c r="DV130" s="15"/>
      <c r="DW130" s="7"/>
      <c r="DX130" s="7"/>
      <c r="DY130" s="7"/>
      <c r="DZ130" s="27"/>
      <c r="EA130" s="319"/>
    </row>
    <row r="131" spans="1:131" s="10" customFormat="1" x14ac:dyDescent="0.25">
      <c r="A131" s="10" t="s">
        <v>82</v>
      </c>
      <c r="B131" s="24" t="s">
        <v>64</v>
      </c>
      <c r="C131" s="10" t="s">
        <v>649</v>
      </c>
      <c r="D131" s="24" t="s">
        <v>19</v>
      </c>
      <c r="E131" s="3">
        <v>525025</v>
      </c>
      <c r="F131" s="353">
        <v>4</v>
      </c>
      <c r="G131" s="353">
        <v>36</v>
      </c>
      <c r="H131" s="353">
        <v>1525</v>
      </c>
      <c r="I131" s="9" t="s">
        <v>34</v>
      </c>
      <c r="J131" s="10" t="s">
        <v>19</v>
      </c>
      <c r="K131" s="3">
        <v>4</v>
      </c>
      <c r="L131" s="3">
        <v>36</v>
      </c>
      <c r="M131" s="45"/>
      <c r="N131" s="3" t="s">
        <v>186</v>
      </c>
      <c r="O131" s="3" t="s">
        <v>186</v>
      </c>
      <c r="P131" s="3" t="s">
        <v>187</v>
      </c>
      <c r="Q131" s="3" t="s">
        <v>187</v>
      </c>
      <c r="R131" s="11" t="s">
        <v>196</v>
      </c>
      <c r="S131" s="3" t="s">
        <v>188</v>
      </c>
      <c r="T131" s="12" t="s">
        <v>519</v>
      </c>
      <c r="U131" s="12"/>
      <c r="V131" s="12" t="s">
        <v>222</v>
      </c>
      <c r="W131" s="12" t="s">
        <v>24</v>
      </c>
      <c r="X131" s="8" t="s">
        <v>19</v>
      </c>
      <c r="Y131" s="25" t="s">
        <v>69</v>
      </c>
      <c r="Z131" s="25">
        <v>46</v>
      </c>
      <c r="AA131" s="10" t="s">
        <v>445</v>
      </c>
      <c r="AB131" s="110" t="s">
        <v>37</v>
      </c>
      <c r="AC131" s="7">
        <f>3000000-2500000-500000</f>
        <v>0</v>
      </c>
      <c r="AD131" s="7"/>
      <c r="AE131" s="7"/>
      <c r="AF131" s="7"/>
      <c r="AG131" s="7">
        <f t="shared" si="150"/>
        <v>0</v>
      </c>
      <c r="AH131" s="33"/>
      <c r="AI131" s="7">
        <f t="shared" si="151"/>
        <v>0</v>
      </c>
      <c r="AJ131" s="409"/>
      <c r="AK131" s="7">
        <f>15000000-12000000+5000000</f>
        <v>8000000</v>
      </c>
      <c r="AL131" s="33"/>
      <c r="AM131" s="33">
        <f t="shared" si="143"/>
        <v>8000000</v>
      </c>
      <c r="AN131" s="33">
        <v>0</v>
      </c>
      <c r="AO131" s="33">
        <v>0</v>
      </c>
      <c r="AP131" s="7">
        <f t="shared" si="132"/>
        <v>0</v>
      </c>
      <c r="AQ131" s="33"/>
      <c r="AR131" s="33"/>
      <c r="AS131" s="7">
        <f t="shared" si="148"/>
        <v>0</v>
      </c>
      <c r="AT131" s="33"/>
      <c r="AU131" s="33"/>
      <c r="AV131" s="7">
        <f t="shared" si="149"/>
        <v>0</v>
      </c>
      <c r="AW131" s="33">
        <v>161349.81</v>
      </c>
      <c r="AX131" s="33">
        <v>22588.97</v>
      </c>
      <c r="AY131" s="7">
        <f t="shared" si="107"/>
        <v>183938.78</v>
      </c>
      <c r="AZ131" s="33"/>
      <c r="BA131" s="33"/>
      <c r="BB131" s="7">
        <f t="shared" si="135"/>
        <v>0</v>
      </c>
      <c r="BC131" s="33"/>
      <c r="BD131" s="33"/>
      <c r="BE131" s="7">
        <f t="shared" si="136"/>
        <v>0</v>
      </c>
      <c r="BF131" s="33"/>
      <c r="BG131" s="33"/>
      <c r="BH131" s="7">
        <f t="shared" si="137"/>
        <v>0</v>
      </c>
      <c r="BI131" s="33"/>
      <c r="BJ131" s="33"/>
      <c r="BK131" s="7">
        <f t="shared" si="138"/>
        <v>0</v>
      </c>
      <c r="BL131" s="33"/>
      <c r="BM131" s="33"/>
      <c r="BN131" s="7">
        <f t="shared" si="139"/>
        <v>0</v>
      </c>
      <c r="BO131" s="33"/>
      <c r="BP131" s="33"/>
      <c r="BQ131" s="7">
        <f t="shared" si="140"/>
        <v>0</v>
      </c>
      <c r="BR131" s="33"/>
      <c r="BS131" s="33"/>
      <c r="BT131" s="7">
        <f t="shared" si="141"/>
        <v>0</v>
      </c>
      <c r="BU131" s="33"/>
      <c r="BV131" s="33"/>
      <c r="BW131" s="7">
        <f t="shared" si="142"/>
        <v>0</v>
      </c>
      <c r="BX131" s="33">
        <v>1775089.3</v>
      </c>
      <c r="BY131" s="7">
        <f t="shared" si="109"/>
        <v>161349.81</v>
      </c>
      <c r="BZ131" s="7">
        <f t="shared" si="110"/>
        <v>183938.78</v>
      </c>
      <c r="CA131" s="33"/>
      <c r="CB131" s="7">
        <f t="shared" si="111"/>
        <v>7838650.1900000004</v>
      </c>
      <c r="CC131" s="7">
        <f t="shared" si="112"/>
        <v>7816061.2199999997</v>
      </c>
      <c r="CD131" s="15">
        <f t="shared" si="113"/>
        <v>2.0168726250000001E-2</v>
      </c>
      <c r="CE131" s="15">
        <f t="shared" si="114"/>
        <v>2.29923475E-2</v>
      </c>
      <c r="CF131" s="450" t="s">
        <v>840</v>
      </c>
      <c r="CG131" s="33">
        <f>10000000-5000000</f>
        <v>5000000</v>
      </c>
      <c r="CH131" s="33">
        <v>10000000</v>
      </c>
      <c r="CI131" s="33"/>
      <c r="CJ131" s="33"/>
      <c r="CK131" s="7"/>
      <c r="CL131" s="7"/>
      <c r="CM131" s="7"/>
      <c r="CN131" s="7"/>
      <c r="CO131" s="7"/>
      <c r="CP131" s="7"/>
      <c r="CQ131" s="7"/>
      <c r="CR131" s="7"/>
      <c r="CS131" s="7"/>
      <c r="CT131" s="7"/>
      <c r="CU131" s="7"/>
      <c r="CV131" s="7"/>
      <c r="CW131" s="7"/>
      <c r="CX131" s="7"/>
      <c r="CY131" s="7">
        <f t="shared" si="154"/>
        <v>0</v>
      </c>
      <c r="CZ131" s="7"/>
      <c r="DA131" s="7"/>
      <c r="DB131" s="7">
        <f t="shared" si="155"/>
        <v>0</v>
      </c>
      <c r="DC131" s="7"/>
      <c r="DD131" s="7"/>
      <c r="DE131" s="7"/>
      <c r="DF131" s="7"/>
      <c r="DG131" s="7"/>
      <c r="DH131" s="7"/>
      <c r="DI131" s="7"/>
      <c r="DJ131" s="7"/>
      <c r="DK131" s="7"/>
      <c r="DL131" s="7"/>
      <c r="DM131" s="7"/>
      <c r="DN131" s="7"/>
      <c r="DO131" s="7"/>
      <c r="DP131" s="14"/>
      <c r="DQ131" s="14"/>
      <c r="DR131" s="7"/>
      <c r="DS131" s="7">
        <f t="shared" si="156"/>
        <v>0</v>
      </c>
      <c r="DT131" s="7"/>
      <c r="DU131" s="15"/>
      <c r="DV131" s="15"/>
      <c r="DW131" s="33">
        <f>40000000+30000000+10000000</f>
        <v>80000000</v>
      </c>
      <c r="DX131" s="7"/>
      <c r="DY131" s="7"/>
      <c r="DZ131" s="27"/>
      <c r="EA131" s="319"/>
    </row>
    <row r="132" spans="1:131" s="10" customFormat="1" x14ac:dyDescent="0.25">
      <c r="A132" s="10" t="s">
        <v>82</v>
      </c>
      <c r="B132" s="24" t="s">
        <v>64</v>
      </c>
      <c r="C132" s="10" t="s">
        <v>649</v>
      </c>
      <c r="D132" s="24" t="s">
        <v>19</v>
      </c>
      <c r="E132" s="3">
        <v>525025</v>
      </c>
      <c r="F132" s="353">
        <v>4</v>
      </c>
      <c r="G132" s="353">
        <v>36</v>
      </c>
      <c r="H132" s="353">
        <v>1526</v>
      </c>
      <c r="I132" s="9" t="s">
        <v>34</v>
      </c>
      <c r="J132" s="10" t="s">
        <v>400</v>
      </c>
      <c r="K132" s="3">
        <v>4</v>
      </c>
      <c r="L132" s="3">
        <v>36</v>
      </c>
      <c r="M132" s="45"/>
      <c r="N132" s="3" t="s">
        <v>186</v>
      </c>
      <c r="O132" s="3" t="s">
        <v>186</v>
      </c>
      <c r="P132" s="3" t="s">
        <v>187</v>
      </c>
      <c r="Q132" s="3" t="s">
        <v>187</v>
      </c>
      <c r="R132" s="11" t="s">
        <v>196</v>
      </c>
      <c r="S132" s="3" t="s">
        <v>188</v>
      </c>
      <c r="T132" s="12" t="s">
        <v>519</v>
      </c>
      <c r="U132" s="12"/>
      <c r="V132" s="12" t="s">
        <v>222</v>
      </c>
      <c r="W132" s="12" t="s">
        <v>24</v>
      </c>
      <c r="X132" s="8" t="s">
        <v>19</v>
      </c>
      <c r="Y132" s="25" t="s">
        <v>69</v>
      </c>
      <c r="Z132" s="25" t="s">
        <v>146</v>
      </c>
      <c r="AA132" s="10" t="s">
        <v>558</v>
      </c>
      <c r="AB132" s="110" t="s">
        <v>37</v>
      </c>
      <c r="AC132" s="7">
        <v>25000000</v>
      </c>
      <c r="AD132" s="7"/>
      <c r="AE132" s="7">
        <f>AC132+AD132</f>
        <v>25000000</v>
      </c>
      <c r="AF132" s="7">
        <v>8000000</v>
      </c>
      <c r="AG132" s="7">
        <f t="shared" si="150"/>
        <v>33000000</v>
      </c>
      <c r="AH132" s="33">
        <f>2000000+1500000</f>
        <v>3500000</v>
      </c>
      <c r="AI132" s="7">
        <f t="shared" si="151"/>
        <v>36500000</v>
      </c>
      <c r="AJ132" s="409"/>
      <c r="AK132" s="7">
        <f>25000000-15000000</f>
        <v>10000000</v>
      </c>
      <c r="AL132" s="33"/>
      <c r="AM132" s="33">
        <f t="shared" si="143"/>
        <v>10000000</v>
      </c>
      <c r="AN132" s="33">
        <v>0</v>
      </c>
      <c r="AO132" s="33">
        <v>0</v>
      </c>
      <c r="AP132" s="7">
        <f t="shared" si="132"/>
        <v>0</v>
      </c>
      <c r="AQ132" s="33"/>
      <c r="AR132" s="33"/>
      <c r="AS132" s="7">
        <f t="shared" si="148"/>
        <v>0</v>
      </c>
      <c r="AT132" s="33"/>
      <c r="AU132" s="33"/>
      <c r="AV132" s="7">
        <f t="shared" si="149"/>
        <v>0</v>
      </c>
      <c r="AW132" s="7"/>
      <c r="AX132" s="7"/>
      <c r="AY132" s="7">
        <f t="shared" si="107"/>
        <v>0</v>
      </c>
      <c r="AZ132" s="7"/>
      <c r="BA132" s="7"/>
      <c r="BB132" s="7">
        <f t="shared" si="135"/>
        <v>0</v>
      </c>
      <c r="BC132" s="7"/>
      <c r="BD132" s="7"/>
      <c r="BE132" s="7">
        <f t="shared" si="136"/>
        <v>0</v>
      </c>
      <c r="BF132" s="7"/>
      <c r="BG132" s="7"/>
      <c r="BH132" s="7">
        <f t="shared" si="137"/>
        <v>0</v>
      </c>
      <c r="BI132" s="7"/>
      <c r="BJ132" s="7"/>
      <c r="BK132" s="7">
        <f t="shared" si="138"/>
        <v>0</v>
      </c>
      <c r="BL132" s="7"/>
      <c r="BM132" s="7"/>
      <c r="BN132" s="7">
        <f t="shared" si="139"/>
        <v>0</v>
      </c>
      <c r="BO132" s="7"/>
      <c r="BP132" s="7"/>
      <c r="BQ132" s="7">
        <f t="shared" si="140"/>
        <v>0</v>
      </c>
      <c r="BR132" s="7"/>
      <c r="BS132" s="7"/>
      <c r="BT132" s="7">
        <f t="shared" si="141"/>
        <v>0</v>
      </c>
      <c r="BU132" s="7"/>
      <c r="BV132" s="7"/>
      <c r="BW132" s="7">
        <f t="shared" si="142"/>
        <v>0</v>
      </c>
      <c r="BX132" s="33"/>
      <c r="BY132" s="7">
        <f t="shared" si="109"/>
        <v>0</v>
      </c>
      <c r="BZ132" s="7">
        <f t="shared" si="110"/>
        <v>0</v>
      </c>
      <c r="CA132" s="7"/>
      <c r="CB132" s="7">
        <f t="shared" si="111"/>
        <v>10000000</v>
      </c>
      <c r="CC132" s="7">
        <f t="shared" si="112"/>
        <v>10000000</v>
      </c>
      <c r="CD132" s="15">
        <f t="shared" si="113"/>
        <v>0</v>
      </c>
      <c r="CE132" s="15">
        <f t="shared" si="114"/>
        <v>0</v>
      </c>
      <c r="CF132" s="451" t="s">
        <v>685</v>
      </c>
      <c r="CG132" s="7">
        <v>30000000</v>
      </c>
      <c r="CH132" s="33">
        <v>30000000</v>
      </c>
      <c r="CI132" s="33"/>
      <c r="CJ132" s="33"/>
      <c r="CK132" s="7"/>
      <c r="CL132" s="7">
        <f t="shared" si="115"/>
        <v>0</v>
      </c>
      <c r="CM132" s="7">
        <v>2916096.53</v>
      </c>
      <c r="CN132" s="7">
        <f>CM132+407474.91</f>
        <v>3323571.44</v>
      </c>
      <c r="CO132" s="7">
        <v>5902572.5700000003</v>
      </c>
      <c r="CP132" s="7">
        <v>533811.63</v>
      </c>
      <c r="CQ132" s="7">
        <f t="shared" si="153"/>
        <v>6436384.2000000002</v>
      </c>
      <c r="CR132" s="7">
        <f t="shared" si="117"/>
        <v>8818669.0999999996</v>
      </c>
      <c r="CS132" s="7">
        <f t="shared" si="118"/>
        <v>9759955.6400000006</v>
      </c>
      <c r="CT132" s="7">
        <v>4676639.5599999996</v>
      </c>
      <c r="CU132" s="7">
        <v>948056.69</v>
      </c>
      <c r="CV132" s="7">
        <f t="shared" ref="CV132:CV155" si="198">CT132+CU132</f>
        <v>5624696.25</v>
      </c>
      <c r="CW132" s="7">
        <v>4623433.8499999996</v>
      </c>
      <c r="CX132" s="7">
        <v>647280.74</v>
      </c>
      <c r="CY132" s="7">
        <f t="shared" si="154"/>
        <v>5270714.59</v>
      </c>
      <c r="CZ132" s="7">
        <v>4357834.3</v>
      </c>
      <c r="DA132" s="7">
        <v>610096.81999999995</v>
      </c>
      <c r="DB132" s="7">
        <f t="shared" si="155"/>
        <v>4967931.12</v>
      </c>
      <c r="DC132" s="7"/>
      <c r="DD132" s="7">
        <f t="shared" si="122"/>
        <v>0</v>
      </c>
      <c r="DE132" s="7"/>
      <c r="DF132" s="7">
        <f t="shared" si="123"/>
        <v>0</v>
      </c>
      <c r="DG132" s="7"/>
      <c r="DH132" s="7">
        <f t="shared" si="124"/>
        <v>0</v>
      </c>
      <c r="DI132" s="7"/>
      <c r="DJ132" s="7">
        <f t="shared" si="125"/>
        <v>0</v>
      </c>
      <c r="DK132" s="7"/>
      <c r="DL132" s="7">
        <f t="shared" si="126"/>
        <v>0</v>
      </c>
      <c r="DM132" s="7"/>
      <c r="DN132" s="7">
        <f t="shared" si="127"/>
        <v>0</v>
      </c>
      <c r="DO132" s="7">
        <v>2038718.1</v>
      </c>
      <c r="DP132" s="14">
        <f t="shared" si="152"/>
        <v>22476576.809999999</v>
      </c>
      <c r="DQ132" s="14">
        <f t="shared" si="157"/>
        <v>25623297.600000001</v>
      </c>
      <c r="DR132" s="7"/>
      <c r="DS132" s="7">
        <f t="shared" si="156"/>
        <v>10523423.190000001</v>
      </c>
      <c r="DT132" s="7">
        <f t="shared" si="158"/>
        <v>7376702.3999999985</v>
      </c>
      <c r="DU132" s="15">
        <f t="shared" si="159"/>
        <v>0.68110838818181818</v>
      </c>
      <c r="DV132" s="15">
        <f t="shared" si="160"/>
        <v>0.77646356363636371</v>
      </c>
      <c r="DW132" s="7">
        <v>110000000</v>
      </c>
      <c r="DX132" s="7"/>
      <c r="DY132" s="7"/>
      <c r="DZ132" s="27"/>
      <c r="EA132" s="319"/>
    </row>
    <row r="133" spans="1:131" s="10" customFormat="1" x14ac:dyDescent="0.25">
      <c r="A133" s="10" t="s">
        <v>82</v>
      </c>
      <c r="B133" s="24" t="s">
        <v>64</v>
      </c>
      <c r="C133" s="10" t="s">
        <v>649</v>
      </c>
      <c r="D133" s="24" t="s">
        <v>19</v>
      </c>
      <c r="E133" s="3">
        <v>525025</v>
      </c>
      <c r="F133" s="353">
        <v>4</v>
      </c>
      <c r="G133" s="353">
        <v>36</v>
      </c>
      <c r="H133" s="353">
        <v>1527</v>
      </c>
      <c r="I133" s="9" t="s">
        <v>34</v>
      </c>
      <c r="J133" s="10" t="s">
        <v>19</v>
      </c>
      <c r="K133" s="3">
        <v>4</v>
      </c>
      <c r="L133" s="3">
        <v>36</v>
      </c>
      <c r="M133" s="45"/>
      <c r="N133" s="3" t="s">
        <v>186</v>
      </c>
      <c r="O133" s="3" t="s">
        <v>186</v>
      </c>
      <c r="P133" s="3" t="s">
        <v>187</v>
      </c>
      <c r="Q133" s="3" t="s">
        <v>187</v>
      </c>
      <c r="R133" s="11" t="s">
        <v>196</v>
      </c>
      <c r="S133" s="3" t="s">
        <v>188</v>
      </c>
      <c r="T133" s="12" t="s">
        <v>519</v>
      </c>
      <c r="U133" s="12"/>
      <c r="V133" s="12" t="s">
        <v>222</v>
      </c>
      <c r="W133" s="12" t="s">
        <v>24</v>
      </c>
      <c r="X133" s="8" t="s">
        <v>19</v>
      </c>
      <c r="Y133" s="25" t="s">
        <v>69</v>
      </c>
      <c r="Z133" s="25" t="s">
        <v>146</v>
      </c>
      <c r="AA133" s="10" t="s">
        <v>559</v>
      </c>
      <c r="AB133" s="110" t="s">
        <v>37</v>
      </c>
      <c r="AC133" s="7"/>
      <c r="AD133" s="7"/>
      <c r="AE133" s="7"/>
      <c r="AF133" s="7"/>
      <c r="AG133" s="7">
        <f t="shared" si="150"/>
        <v>0</v>
      </c>
      <c r="AH133" s="33"/>
      <c r="AI133" s="7">
        <f t="shared" si="151"/>
        <v>0</v>
      </c>
      <c r="AJ133" s="409"/>
      <c r="AK133" s="7">
        <v>15000000</v>
      </c>
      <c r="AL133" s="33"/>
      <c r="AM133" s="33">
        <f>AK133+AL133+445804</f>
        <v>15445804</v>
      </c>
      <c r="AN133" s="33">
        <v>0</v>
      </c>
      <c r="AO133" s="33">
        <v>0</v>
      </c>
      <c r="AP133" s="7">
        <f t="shared" si="132"/>
        <v>0</v>
      </c>
      <c r="AQ133" s="33">
        <v>1400662.06</v>
      </c>
      <c r="AR133" s="33">
        <v>196092.69</v>
      </c>
      <c r="AS133" s="7">
        <f t="shared" si="148"/>
        <v>1596754.75</v>
      </c>
      <c r="AT133" s="33">
        <v>1662796.5</v>
      </c>
      <c r="AU133" s="33">
        <v>232791.49</v>
      </c>
      <c r="AV133" s="7">
        <f t="shared" si="149"/>
        <v>1895587.99</v>
      </c>
      <c r="AW133" s="33">
        <v>1857472.2</v>
      </c>
      <c r="AX133" s="33">
        <v>260046.1</v>
      </c>
      <c r="AY133" s="7">
        <f t="shared" si="107"/>
        <v>2117518.2999999998</v>
      </c>
      <c r="AZ133" s="33"/>
      <c r="BA133" s="33"/>
      <c r="BB133" s="7">
        <f t="shared" si="135"/>
        <v>0</v>
      </c>
      <c r="BC133" s="33"/>
      <c r="BD133" s="33"/>
      <c r="BE133" s="7">
        <f t="shared" si="136"/>
        <v>0</v>
      </c>
      <c r="BF133" s="33"/>
      <c r="BG133" s="33"/>
      <c r="BH133" s="7">
        <f t="shared" si="137"/>
        <v>0</v>
      </c>
      <c r="BI133" s="33"/>
      <c r="BJ133" s="33"/>
      <c r="BK133" s="7">
        <f t="shared" si="138"/>
        <v>0</v>
      </c>
      <c r="BL133" s="33"/>
      <c r="BM133" s="33"/>
      <c r="BN133" s="7">
        <f t="shared" si="139"/>
        <v>0</v>
      </c>
      <c r="BO133" s="33"/>
      <c r="BP133" s="33"/>
      <c r="BQ133" s="7">
        <f t="shared" si="140"/>
        <v>0</v>
      </c>
      <c r="BR133" s="33"/>
      <c r="BS133" s="33"/>
      <c r="BT133" s="7">
        <f t="shared" si="141"/>
        <v>0</v>
      </c>
      <c r="BU133" s="33"/>
      <c r="BV133" s="33"/>
      <c r="BW133" s="7">
        <f t="shared" si="142"/>
        <v>0</v>
      </c>
      <c r="BX133" s="33">
        <v>4692203.87</v>
      </c>
      <c r="BY133" s="7">
        <f t="shared" si="109"/>
        <v>4920930.76</v>
      </c>
      <c r="BZ133" s="7">
        <f t="shared" si="110"/>
        <v>5609861.04</v>
      </c>
      <c r="CA133" s="33"/>
      <c r="CB133" s="7">
        <f t="shared" si="111"/>
        <v>10524873.24</v>
      </c>
      <c r="CC133" s="7">
        <f t="shared" si="112"/>
        <v>9835942.9600000009</v>
      </c>
      <c r="CD133" s="15">
        <f t="shared" si="113"/>
        <v>0.31859337073032906</v>
      </c>
      <c r="CE133" s="15">
        <f t="shared" si="114"/>
        <v>0.36319644092337311</v>
      </c>
      <c r="CF133" s="450" t="s">
        <v>839</v>
      </c>
      <c r="CG133" s="33">
        <v>0</v>
      </c>
      <c r="CH133" s="33">
        <v>0</v>
      </c>
      <c r="CI133" s="33"/>
      <c r="CJ133" s="33"/>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14"/>
      <c r="DQ133" s="14"/>
      <c r="DR133" s="7"/>
      <c r="DS133" s="7"/>
      <c r="DT133" s="7"/>
      <c r="DU133" s="15"/>
      <c r="DV133" s="15"/>
      <c r="DW133" s="7"/>
      <c r="DX133" s="7"/>
      <c r="DY133" s="7"/>
      <c r="DZ133" s="27"/>
      <c r="EA133" s="319"/>
    </row>
    <row r="134" spans="1:131" s="10" customFormat="1" x14ac:dyDescent="0.25">
      <c r="A134" s="10" t="s">
        <v>82</v>
      </c>
      <c r="B134" s="24" t="s">
        <v>64</v>
      </c>
      <c r="C134" s="10" t="s">
        <v>649</v>
      </c>
      <c r="D134" s="24" t="s">
        <v>19</v>
      </c>
      <c r="E134" s="3">
        <v>525025</v>
      </c>
      <c r="F134" s="353">
        <v>4</v>
      </c>
      <c r="G134" s="353">
        <v>36</v>
      </c>
      <c r="H134" s="353">
        <v>1528</v>
      </c>
      <c r="I134" s="9" t="s">
        <v>34</v>
      </c>
      <c r="J134" s="10" t="s">
        <v>19</v>
      </c>
      <c r="K134" s="3">
        <v>4</v>
      </c>
      <c r="L134" s="3">
        <v>36</v>
      </c>
      <c r="M134" s="45"/>
      <c r="N134" s="3" t="s">
        <v>186</v>
      </c>
      <c r="O134" s="3" t="s">
        <v>186</v>
      </c>
      <c r="P134" s="3" t="s">
        <v>187</v>
      </c>
      <c r="Q134" s="3" t="s">
        <v>187</v>
      </c>
      <c r="R134" s="11" t="s">
        <v>196</v>
      </c>
      <c r="S134" s="3" t="s">
        <v>188</v>
      </c>
      <c r="T134" s="12" t="s">
        <v>519</v>
      </c>
      <c r="U134" s="12"/>
      <c r="V134" s="12" t="s">
        <v>222</v>
      </c>
      <c r="W134" s="12" t="s">
        <v>24</v>
      </c>
      <c r="X134" s="8" t="s">
        <v>19</v>
      </c>
      <c r="Y134" s="25" t="s">
        <v>69</v>
      </c>
      <c r="Z134" s="25" t="s">
        <v>184</v>
      </c>
      <c r="AA134" s="10" t="s">
        <v>257</v>
      </c>
      <c r="AB134" s="110" t="s">
        <v>37</v>
      </c>
      <c r="AC134" s="7">
        <v>15000000</v>
      </c>
      <c r="AD134" s="7"/>
      <c r="AE134" s="7">
        <f>AC134+AD134</f>
        <v>15000000</v>
      </c>
      <c r="AF134" s="7">
        <v>-6000000</v>
      </c>
      <c r="AG134" s="7">
        <f t="shared" si="150"/>
        <v>9000000</v>
      </c>
      <c r="AH134" s="33"/>
      <c r="AI134" s="7">
        <f t="shared" si="151"/>
        <v>9000000</v>
      </c>
      <c r="AJ134" s="409"/>
      <c r="AK134" s="7">
        <v>2000000</v>
      </c>
      <c r="AL134" s="33"/>
      <c r="AM134" s="33">
        <f t="shared" si="143"/>
        <v>2000000</v>
      </c>
      <c r="AN134" s="33">
        <v>0</v>
      </c>
      <c r="AO134" s="33">
        <v>0</v>
      </c>
      <c r="AP134" s="7">
        <f t="shared" si="132"/>
        <v>0</v>
      </c>
      <c r="AQ134" s="33"/>
      <c r="AR134" s="33"/>
      <c r="AS134" s="7">
        <f t="shared" si="148"/>
        <v>0</v>
      </c>
      <c r="AT134" s="33"/>
      <c r="AU134" s="33"/>
      <c r="AV134" s="7">
        <f t="shared" si="149"/>
        <v>0</v>
      </c>
      <c r="AW134" s="33"/>
      <c r="AX134" s="33"/>
      <c r="AY134" s="7">
        <f t="shared" si="107"/>
        <v>0</v>
      </c>
      <c r="AZ134" s="33"/>
      <c r="BA134" s="33"/>
      <c r="BB134" s="7">
        <f t="shared" si="135"/>
        <v>0</v>
      </c>
      <c r="BC134" s="33"/>
      <c r="BD134" s="33"/>
      <c r="BE134" s="7">
        <f t="shared" si="136"/>
        <v>0</v>
      </c>
      <c r="BF134" s="33"/>
      <c r="BG134" s="33"/>
      <c r="BH134" s="7">
        <f t="shared" si="137"/>
        <v>0</v>
      </c>
      <c r="BI134" s="33"/>
      <c r="BJ134" s="33"/>
      <c r="BK134" s="7">
        <f t="shared" si="138"/>
        <v>0</v>
      </c>
      <c r="BL134" s="33"/>
      <c r="BM134" s="33"/>
      <c r="BN134" s="7">
        <f t="shared" si="139"/>
        <v>0</v>
      </c>
      <c r="BO134" s="33"/>
      <c r="BP134" s="33"/>
      <c r="BQ134" s="7">
        <f t="shared" si="140"/>
        <v>0</v>
      </c>
      <c r="BR134" s="33"/>
      <c r="BS134" s="33"/>
      <c r="BT134" s="7">
        <f t="shared" si="141"/>
        <v>0</v>
      </c>
      <c r="BU134" s="33"/>
      <c r="BV134" s="33"/>
      <c r="BW134" s="7">
        <f t="shared" si="142"/>
        <v>0</v>
      </c>
      <c r="BX134" s="33"/>
      <c r="BY134" s="7">
        <f t="shared" si="109"/>
        <v>0</v>
      </c>
      <c r="BZ134" s="7">
        <f t="shared" si="110"/>
        <v>0</v>
      </c>
      <c r="CA134" s="33"/>
      <c r="CB134" s="7">
        <f t="shared" si="111"/>
        <v>2000000</v>
      </c>
      <c r="CC134" s="7">
        <f t="shared" si="112"/>
        <v>2000000</v>
      </c>
      <c r="CD134" s="15">
        <f t="shared" si="113"/>
        <v>0</v>
      </c>
      <c r="CE134" s="15">
        <f t="shared" si="114"/>
        <v>0</v>
      </c>
      <c r="CF134" s="450" t="s">
        <v>829</v>
      </c>
      <c r="CG134" s="33">
        <v>0</v>
      </c>
      <c r="CH134" s="33">
        <v>0</v>
      </c>
      <c r="CI134" s="33"/>
      <c r="CJ134" s="33"/>
      <c r="CK134" s="7"/>
      <c r="CL134" s="7">
        <f t="shared" si="115"/>
        <v>0</v>
      </c>
      <c r="CM134" s="7"/>
      <c r="CN134" s="7">
        <f>CM134</f>
        <v>0</v>
      </c>
      <c r="CO134" s="7">
        <v>90883.71</v>
      </c>
      <c r="CP134" s="7"/>
      <c r="CQ134" s="7">
        <f t="shared" si="153"/>
        <v>90883.71</v>
      </c>
      <c r="CR134" s="7">
        <f>CK134+CM134+CO134</f>
        <v>90883.71</v>
      </c>
      <c r="CS134" s="7">
        <f>CL134+CN134+CQ134</f>
        <v>90883.71</v>
      </c>
      <c r="CT134" s="7"/>
      <c r="CU134" s="7"/>
      <c r="CV134" s="7">
        <f t="shared" si="198"/>
        <v>0</v>
      </c>
      <c r="CW134" s="7"/>
      <c r="CX134" s="7"/>
      <c r="CY134" s="7">
        <f t="shared" si="154"/>
        <v>0</v>
      </c>
      <c r="CZ134" s="7">
        <v>7999784.8300000001</v>
      </c>
      <c r="DA134" s="7"/>
      <c r="DB134" s="7">
        <f t="shared" si="155"/>
        <v>7999784.8300000001</v>
      </c>
      <c r="DC134" s="7"/>
      <c r="DD134" s="7">
        <f t="shared" si="122"/>
        <v>0</v>
      </c>
      <c r="DE134" s="7"/>
      <c r="DF134" s="7">
        <f t="shared" si="123"/>
        <v>0</v>
      </c>
      <c r="DG134" s="7"/>
      <c r="DH134" s="7">
        <f t="shared" si="124"/>
        <v>0</v>
      </c>
      <c r="DI134" s="7"/>
      <c r="DJ134" s="7">
        <f t="shared" si="125"/>
        <v>0</v>
      </c>
      <c r="DK134" s="7"/>
      <c r="DL134" s="7">
        <f t="shared" si="126"/>
        <v>0</v>
      </c>
      <c r="DM134" s="7"/>
      <c r="DN134" s="7">
        <f t="shared" si="127"/>
        <v>0</v>
      </c>
      <c r="DO134" s="7"/>
      <c r="DP134" s="14">
        <f t="shared" si="152"/>
        <v>8090668.54</v>
      </c>
      <c r="DQ134" s="14">
        <f t="shared" si="157"/>
        <v>8090668.54</v>
      </c>
      <c r="DR134" s="7"/>
      <c r="DS134" s="7">
        <f t="shared" si="156"/>
        <v>909331.46</v>
      </c>
      <c r="DT134" s="7">
        <f t="shared" si="158"/>
        <v>909331.46</v>
      </c>
      <c r="DU134" s="15">
        <f t="shared" si="159"/>
        <v>0.89896317111111113</v>
      </c>
      <c r="DV134" s="15">
        <f t="shared" si="160"/>
        <v>0.89896317111111113</v>
      </c>
      <c r="DW134" s="7"/>
      <c r="DX134" s="7"/>
      <c r="DY134" s="7"/>
      <c r="DZ134" s="27"/>
      <c r="EA134" s="319"/>
    </row>
    <row r="135" spans="1:131" s="10" customFormat="1" ht="30.75" x14ac:dyDescent="0.25">
      <c r="A135" s="10" t="s">
        <v>82</v>
      </c>
      <c r="B135" s="24" t="s">
        <v>85</v>
      </c>
      <c r="C135" s="10" t="s">
        <v>233</v>
      </c>
      <c r="D135" s="24"/>
      <c r="E135" s="3">
        <v>530020</v>
      </c>
      <c r="F135" s="353">
        <v>4</v>
      </c>
      <c r="G135" s="359" t="s">
        <v>187</v>
      </c>
      <c r="H135" s="353">
        <v>1523</v>
      </c>
      <c r="I135" s="9" t="s">
        <v>14</v>
      </c>
      <c r="J135" s="10" t="s">
        <v>400</v>
      </c>
      <c r="K135" s="3">
        <v>4</v>
      </c>
      <c r="L135" s="11" t="s">
        <v>187</v>
      </c>
      <c r="M135" s="45"/>
      <c r="N135" s="11" t="s">
        <v>186</v>
      </c>
      <c r="O135" s="3" t="s">
        <v>186</v>
      </c>
      <c r="P135" s="3" t="s">
        <v>187</v>
      </c>
      <c r="Q135" s="3" t="s">
        <v>187</v>
      </c>
      <c r="R135" s="3">
        <v>250</v>
      </c>
      <c r="S135" s="3" t="s">
        <v>188</v>
      </c>
      <c r="T135" s="12" t="s">
        <v>46</v>
      </c>
      <c r="U135" s="12" t="s">
        <v>222</v>
      </c>
      <c r="V135" s="12"/>
      <c r="W135" s="12" t="s">
        <v>5</v>
      </c>
      <c r="X135" s="8" t="s">
        <v>55</v>
      </c>
      <c r="Y135" s="25" t="s">
        <v>69</v>
      </c>
      <c r="Z135" s="25" t="s">
        <v>92</v>
      </c>
      <c r="AA135" s="10" t="s">
        <v>526</v>
      </c>
      <c r="AB135" s="12" t="s">
        <v>8</v>
      </c>
      <c r="AC135" s="52">
        <v>0</v>
      </c>
      <c r="AD135" s="52"/>
      <c r="AE135" s="7">
        <f>AC135+AD135</f>
        <v>0</v>
      </c>
      <c r="AF135" s="7"/>
      <c r="AG135" s="7">
        <f t="shared" si="150"/>
        <v>0</v>
      </c>
      <c r="AH135" s="33"/>
      <c r="AI135" s="7">
        <f t="shared" si="151"/>
        <v>0</v>
      </c>
      <c r="AJ135" s="409"/>
      <c r="AK135" s="27">
        <f>25000000-10000000+300000+3000000</f>
        <v>18300000</v>
      </c>
      <c r="AL135" s="36"/>
      <c r="AM135" s="33">
        <f t="shared" si="143"/>
        <v>18300000</v>
      </c>
      <c r="AN135" s="36">
        <v>0</v>
      </c>
      <c r="AO135" s="36">
        <v>0</v>
      </c>
      <c r="AP135" s="7">
        <f t="shared" si="132"/>
        <v>0</v>
      </c>
      <c r="AQ135" s="36">
        <v>1888532.64</v>
      </c>
      <c r="AR135" s="36"/>
      <c r="AS135" s="7">
        <f t="shared" si="148"/>
        <v>1888532.64</v>
      </c>
      <c r="AT135" s="36">
        <v>10484165.529999999</v>
      </c>
      <c r="AU135" s="36"/>
      <c r="AV135" s="7">
        <f t="shared" si="149"/>
        <v>10484165.529999999</v>
      </c>
      <c r="AW135" s="7">
        <v>4549898.9800000004</v>
      </c>
      <c r="AX135" s="7"/>
      <c r="AY135" s="7">
        <f t="shared" si="107"/>
        <v>4549898.9800000004</v>
      </c>
      <c r="AZ135" s="7"/>
      <c r="BA135" s="7"/>
      <c r="BB135" s="7">
        <f t="shared" si="135"/>
        <v>0</v>
      </c>
      <c r="BC135" s="7"/>
      <c r="BD135" s="7"/>
      <c r="BE135" s="7">
        <f t="shared" si="136"/>
        <v>0</v>
      </c>
      <c r="BF135" s="7"/>
      <c r="BG135" s="7"/>
      <c r="BH135" s="7">
        <f t="shared" si="137"/>
        <v>0</v>
      </c>
      <c r="BI135" s="7"/>
      <c r="BJ135" s="7"/>
      <c r="BK135" s="7">
        <f t="shared" si="138"/>
        <v>0</v>
      </c>
      <c r="BL135" s="7"/>
      <c r="BM135" s="7"/>
      <c r="BN135" s="7">
        <f t="shared" si="139"/>
        <v>0</v>
      </c>
      <c r="BO135" s="7"/>
      <c r="BP135" s="7"/>
      <c r="BQ135" s="7">
        <f t="shared" si="140"/>
        <v>0</v>
      </c>
      <c r="BR135" s="7"/>
      <c r="BS135" s="7"/>
      <c r="BT135" s="7">
        <f t="shared" si="141"/>
        <v>0</v>
      </c>
      <c r="BU135" s="7"/>
      <c r="BV135" s="7"/>
      <c r="BW135" s="7">
        <f t="shared" si="142"/>
        <v>0</v>
      </c>
      <c r="BX135" s="33">
        <v>0</v>
      </c>
      <c r="BY135" s="7">
        <f t="shared" si="109"/>
        <v>16922597.149999999</v>
      </c>
      <c r="BZ135" s="7">
        <f t="shared" si="110"/>
        <v>16922597.149999999</v>
      </c>
      <c r="CA135" s="7"/>
      <c r="CB135" s="7">
        <f t="shared" si="111"/>
        <v>1377402.8500000015</v>
      </c>
      <c r="CC135" s="7">
        <f t="shared" si="112"/>
        <v>1377402.8500000015</v>
      </c>
      <c r="CD135" s="15">
        <f t="shared" si="113"/>
        <v>0.92473208469945345</v>
      </c>
      <c r="CE135" s="15">
        <f t="shared" si="114"/>
        <v>0.92473208469945345</v>
      </c>
      <c r="CF135" s="490" t="s">
        <v>771</v>
      </c>
      <c r="CG135" s="7">
        <f>15000000+3000000</f>
        <v>18000000</v>
      </c>
      <c r="CH135" s="33">
        <f>15000000+3000000</f>
        <v>18000000</v>
      </c>
      <c r="CI135" s="33"/>
      <c r="CJ135" s="33"/>
      <c r="CK135" s="52"/>
      <c r="CL135" s="7">
        <f t="shared" si="115"/>
        <v>0</v>
      </c>
      <c r="CM135" s="52"/>
      <c r="CN135" s="7">
        <f>CM135</f>
        <v>0</v>
      </c>
      <c r="CO135" s="52"/>
      <c r="CP135" s="52"/>
      <c r="CQ135" s="7">
        <f t="shared" si="153"/>
        <v>0</v>
      </c>
      <c r="CR135" s="7">
        <f>CK135+CM135+CO135</f>
        <v>0</v>
      </c>
      <c r="CS135" s="7">
        <f>CL135+CN135+CQ135</f>
        <v>0</v>
      </c>
      <c r="CT135" s="52"/>
      <c r="CU135" s="52"/>
      <c r="CV135" s="7">
        <f t="shared" si="198"/>
        <v>0</v>
      </c>
      <c r="CW135" s="52"/>
      <c r="CX135" s="52"/>
      <c r="CY135" s="7">
        <f t="shared" si="154"/>
        <v>0</v>
      </c>
      <c r="CZ135" s="52"/>
      <c r="DA135" s="52"/>
      <c r="DB135" s="7">
        <f t="shared" si="155"/>
        <v>0</v>
      </c>
      <c r="DC135" s="52"/>
      <c r="DD135" s="7">
        <f t="shared" si="122"/>
        <v>0</v>
      </c>
      <c r="DE135" s="52"/>
      <c r="DF135" s="7">
        <f t="shared" si="123"/>
        <v>0</v>
      </c>
      <c r="DG135" s="52"/>
      <c r="DH135" s="7">
        <f t="shared" si="124"/>
        <v>0</v>
      </c>
      <c r="DI135" s="52"/>
      <c r="DJ135" s="7">
        <f t="shared" si="125"/>
        <v>0</v>
      </c>
      <c r="DK135" s="52"/>
      <c r="DL135" s="7">
        <f t="shared" si="126"/>
        <v>0</v>
      </c>
      <c r="DM135" s="52"/>
      <c r="DN135" s="7">
        <f t="shared" si="127"/>
        <v>0</v>
      </c>
      <c r="DO135" s="52"/>
      <c r="DP135" s="14">
        <f t="shared" si="152"/>
        <v>0</v>
      </c>
      <c r="DQ135" s="14">
        <f t="shared" si="157"/>
        <v>0</v>
      </c>
      <c r="DR135" s="7"/>
      <c r="DS135" s="7">
        <f t="shared" si="156"/>
        <v>0</v>
      </c>
      <c r="DT135" s="7">
        <f t="shared" si="158"/>
        <v>0</v>
      </c>
      <c r="DU135" s="15" t="e">
        <f t="shared" si="159"/>
        <v>#DIV/0!</v>
      </c>
      <c r="DV135" s="15" t="e">
        <f t="shared" si="160"/>
        <v>#DIV/0!</v>
      </c>
      <c r="DW135" s="15"/>
      <c r="DX135" s="15"/>
      <c r="DY135" s="7"/>
      <c r="DZ135" s="59"/>
      <c r="EA135" s="319"/>
    </row>
    <row r="136" spans="1:131" s="10" customFormat="1" x14ac:dyDescent="0.25">
      <c r="A136" s="10" t="s">
        <v>82</v>
      </c>
      <c r="B136" s="24"/>
      <c r="C136" s="10" t="s">
        <v>233</v>
      </c>
      <c r="D136" s="24"/>
      <c r="E136" s="3">
        <v>530020</v>
      </c>
      <c r="F136" s="353">
        <v>6</v>
      </c>
      <c r="G136" s="359" t="s">
        <v>187</v>
      </c>
      <c r="H136" s="353">
        <v>1512</v>
      </c>
      <c r="I136" s="9" t="s">
        <v>14</v>
      </c>
      <c r="J136" s="10" t="s">
        <v>400</v>
      </c>
      <c r="K136" s="3"/>
      <c r="L136" s="11"/>
      <c r="M136" s="45"/>
      <c r="N136" s="11" t="s">
        <v>186</v>
      </c>
      <c r="O136" s="3" t="s">
        <v>186</v>
      </c>
      <c r="P136" s="3" t="s">
        <v>187</v>
      </c>
      <c r="Q136" s="3" t="s">
        <v>187</v>
      </c>
      <c r="R136" s="3">
        <v>250</v>
      </c>
      <c r="S136" s="11" t="s">
        <v>259</v>
      </c>
      <c r="T136" s="12" t="s">
        <v>46</v>
      </c>
      <c r="U136" s="12" t="s">
        <v>222</v>
      </c>
      <c r="V136" s="12"/>
      <c r="W136" s="51" t="s">
        <v>5</v>
      </c>
      <c r="X136" s="8" t="s">
        <v>55</v>
      </c>
      <c r="Y136" s="25" t="s">
        <v>69</v>
      </c>
      <c r="Z136" s="25" t="s">
        <v>92</v>
      </c>
      <c r="AA136" s="10" t="s">
        <v>714</v>
      </c>
      <c r="AB136" s="12" t="s">
        <v>697</v>
      </c>
      <c r="AC136" s="52"/>
      <c r="AD136" s="52"/>
      <c r="AE136" s="7"/>
      <c r="AF136" s="7"/>
      <c r="AG136" s="7"/>
      <c r="AH136" s="33"/>
      <c r="AI136" s="7"/>
      <c r="AJ136" s="409"/>
      <c r="AK136" s="27"/>
      <c r="AL136" s="36">
        <v>3997668</v>
      </c>
      <c r="AM136" s="33">
        <f t="shared" si="143"/>
        <v>3997668</v>
      </c>
      <c r="AN136" s="36"/>
      <c r="AO136" s="36"/>
      <c r="AP136" s="7">
        <f t="shared" si="132"/>
        <v>0</v>
      </c>
      <c r="AQ136" s="36"/>
      <c r="AR136" s="36"/>
      <c r="AS136" s="7">
        <f t="shared" si="148"/>
        <v>0</v>
      </c>
      <c r="AT136" s="36"/>
      <c r="AU136" s="36"/>
      <c r="AV136" s="7">
        <f t="shared" si="149"/>
        <v>0</v>
      </c>
      <c r="AW136" s="7"/>
      <c r="AX136" s="7"/>
      <c r="AY136" s="7">
        <f t="shared" si="107"/>
        <v>0</v>
      </c>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33"/>
      <c r="BY136" s="7">
        <f t="shared" si="109"/>
        <v>0</v>
      </c>
      <c r="BZ136" s="7">
        <f t="shared" si="110"/>
        <v>0</v>
      </c>
      <c r="CA136" s="7"/>
      <c r="CB136" s="7">
        <f t="shared" si="111"/>
        <v>3997668</v>
      </c>
      <c r="CC136" s="7">
        <f t="shared" si="112"/>
        <v>3997668</v>
      </c>
      <c r="CD136" s="15">
        <f t="shared" si="113"/>
        <v>0</v>
      </c>
      <c r="CE136" s="15">
        <f t="shared" si="114"/>
        <v>0</v>
      </c>
      <c r="CF136" s="490" t="s">
        <v>868</v>
      </c>
      <c r="CG136" s="7"/>
      <c r="CH136" s="33"/>
      <c r="CI136" s="33"/>
      <c r="CJ136" s="33"/>
      <c r="CK136" s="52"/>
      <c r="CL136" s="7"/>
      <c r="CM136" s="52"/>
      <c r="CN136" s="7"/>
      <c r="CO136" s="52"/>
      <c r="CP136" s="52"/>
      <c r="CQ136" s="7"/>
      <c r="CR136" s="7"/>
      <c r="CS136" s="7"/>
      <c r="CT136" s="52"/>
      <c r="CU136" s="52"/>
      <c r="CV136" s="7"/>
      <c r="CW136" s="52"/>
      <c r="CX136" s="52"/>
      <c r="CY136" s="7"/>
      <c r="CZ136" s="52"/>
      <c r="DA136" s="52"/>
      <c r="DB136" s="7"/>
      <c r="DC136" s="52"/>
      <c r="DD136" s="7"/>
      <c r="DE136" s="52"/>
      <c r="DF136" s="7"/>
      <c r="DG136" s="52"/>
      <c r="DH136" s="7"/>
      <c r="DI136" s="52"/>
      <c r="DJ136" s="7"/>
      <c r="DK136" s="52"/>
      <c r="DL136" s="7"/>
      <c r="DM136" s="52"/>
      <c r="DN136" s="7"/>
      <c r="DO136" s="52"/>
      <c r="DP136" s="14"/>
      <c r="DQ136" s="14"/>
      <c r="DR136" s="7"/>
      <c r="DS136" s="7"/>
      <c r="DT136" s="7"/>
      <c r="DU136" s="15"/>
      <c r="DV136" s="15"/>
      <c r="DW136" s="15"/>
      <c r="DX136" s="15"/>
      <c r="DY136" s="7"/>
      <c r="DZ136" s="59"/>
      <c r="EA136" s="319"/>
    </row>
    <row r="137" spans="1:131" s="10" customFormat="1" x14ac:dyDescent="0.25">
      <c r="A137" s="10" t="s">
        <v>82</v>
      </c>
      <c r="B137" s="24"/>
      <c r="C137" s="10" t="s">
        <v>233</v>
      </c>
      <c r="D137" s="24"/>
      <c r="E137" s="3">
        <v>530020</v>
      </c>
      <c r="F137" s="353">
        <v>6</v>
      </c>
      <c r="G137" s="359" t="s">
        <v>187</v>
      </c>
      <c r="H137" s="353">
        <v>1513</v>
      </c>
      <c r="I137" s="9" t="s">
        <v>14</v>
      </c>
      <c r="J137" s="10" t="s">
        <v>14</v>
      </c>
      <c r="K137" s="3"/>
      <c r="L137" s="11"/>
      <c r="M137" s="45"/>
      <c r="N137" s="11" t="s">
        <v>186</v>
      </c>
      <c r="O137" s="3" t="s">
        <v>186</v>
      </c>
      <c r="P137" s="3" t="s">
        <v>187</v>
      </c>
      <c r="Q137" s="3" t="s">
        <v>187</v>
      </c>
      <c r="R137" s="3">
        <v>250</v>
      </c>
      <c r="S137" s="11" t="s">
        <v>259</v>
      </c>
      <c r="T137" s="12" t="s">
        <v>46</v>
      </c>
      <c r="U137" s="12" t="s">
        <v>222</v>
      </c>
      <c r="V137" s="12"/>
      <c r="W137" s="51" t="s">
        <v>5</v>
      </c>
      <c r="X137" s="8" t="s">
        <v>55</v>
      </c>
      <c r="Y137" s="25" t="s">
        <v>69</v>
      </c>
      <c r="Z137" s="25" t="s">
        <v>92</v>
      </c>
      <c r="AA137" s="10" t="s">
        <v>715</v>
      </c>
      <c r="AB137" s="12" t="s">
        <v>697</v>
      </c>
      <c r="AC137" s="52"/>
      <c r="AD137" s="52"/>
      <c r="AE137" s="7"/>
      <c r="AF137" s="7"/>
      <c r="AG137" s="7"/>
      <c r="AH137" s="33"/>
      <c r="AI137" s="7"/>
      <c r="AJ137" s="409"/>
      <c r="AK137" s="27"/>
      <c r="AL137" s="36">
        <v>3000000</v>
      </c>
      <c r="AM137" s="33">
        <f t="shared" si="143"/>
        <v>3000000</v>
      </c>
      <c r="AN137" s="36"/>
      <c r="AO137" s="36"/>
      <c r="AP137" s="7">
        <f t="shared" si="132"/>
        <v>0</v>
      </c>
      <c r="AQ137" s="36"/>
      <c r="AR137" s="36"/>
      <c r="AS137" s="7">
        <f t="shared" si="148"/>
        <v>0</v>
      </c>
      <c r="AT137" s="36"/>
      <c r="AU137" s="36"/>
      <c r="AV137" s="7">
        <f t="shared" si="149"/>
        <v>0</v>
      </c>
      <c r="AW137" s="7"/>
      <c r="AX137" s="7"/>
      <c r="AY137" s="7">
        <f t="shared" si="107"/>
        <v>0</v>
      </c>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33"/>
      <c r="BY137" s="7">
        <f t="shared" si="109"/>
        <v>0</v>
      </c>
      <c r="BZ137" s="7">
        <f t="shared" si="110"/>
        <v>0</v>
      </c>
      <c r="CA137" s="7"/>
      <c r="CB137" s="7">
        <f t="shared" si="111"/>
        <v>3000000</v>
      </c>
      <c r="CC137" s="7">
        <f t="shared" si="112"/>
        <v>3000000</v>
      </c>
      <c r="CD137" s="15">
        <f t="shared" si="113"/>
        <v>0</v>
      </c>
      <c r="CE137" s="15">
        <f t="shared" si="114"/>
        <v>0</v>
      </c>
      <c r="CF137" s="490" t="s">
        <v>884</v>
      </c>
      <c r="CG137" s="7"/>
      <c r="CH137" s="33"/>
      <c r="CI137" s="33"/>
      <c r="CJ137" s="33"/>
      <c r="CK137" s="52"/>
      <c r="CL137" s="7"/>
      <c r="CM137" s="52"/>
      <c r="CN137" s="7"/>
      <c r="CO137" s="52"/>
      <c r="CP137" s="52"/>
      <c r="CQ137" s="7"/>
      <c r="CR137" s="7"/>
      <c r="CS137" s="7"/>
      <c r="CT137" s="52"/>
      <c r="CU137" s="52"/>
      <c r="CV137" s="7"/>
      <c r="CW137" s="52"/>
      <c r="CX137" s="52"/>
      <c r="CY137" s="7"/>
      <c r="CZ137" s="52"/>
      <c r="DA137" s="52"/>
      <c r="DB137" s="7"/>
      <c r="DC137" s="52"/>
      <c r="DD137" s="7"/>
      <c r="DE137" s="52"/>
      <c r="DF137" s="7"/>
      <c r="DG137" s="52"/>
      <c r="DH137" s="7"/>
      <c r="DI137" s="52"/>
      <c r="DJ137" s="7"/>
      <c r="DK137" s="52"/>
      <c r="DL137" s="7"/>
      <c r="DM137" s="52"/>
      <c r="DN137" s="7"/>
      <c r="DO137" s="52"/>
      <c r="DP137" s="14"/>
      <c r="DQ137" s="14"/>
      <c r="DR137" s="7"/>
      <c r="DS137" s="7"/>
      <c r="DT137" s="7"/>
      <c r="DU137" s="15"/>
      <c r="DV137" s="15"/>
      <c r="DW137" s="15"/>
      <c r="DX137" s="15"/>
      <c r="DY137" s="7"/>
      <c r="DZ137" s="59"/>
      <c r="EA137" s="319"/>
    </row>
    <row r="138" spans="1:131" s="10" customFormat="1" x14ac:dyDescent="0.25">
      <c r="A138" s="10" t="s">
        <v>82</v>
      </c>
      <c r="B138" s="24" t="s">
        <v>691</v>
      </c>
      <c r="C138" s="8" t="s">
        <v>626</v>
      </c>
      <c r="D138" s="24"/>
      <c r="E138" s="3">
        <v>535005</v>
      </c>
      <c r="F138" s="353">
        <v>5</v>
      </c>
      <c r="G138" s="359" t="s">
        <v>186</v>
      </c>
      <c r="H138" s="353">
        <v>1509</v>
      </c>
      <c r="I138" s="9" t="s">
        <v>246</v>
      </c>
      <c r="J138" s="10" t="s">
        <v>14</v>
      </c>
      <c r="K138" s="3">
        <v>4</v>
      </c>
      <c r="L138" s="11" t="s">
        <v>187</v>
      </c>
      <c r="M138" s="45"/>
      <c r="N138" s="11" t="s">
        <v>186</v>
      </c>
      <c r="O138" s="11" t="s">
        <v>186</v>
      </c>
      <c r="P138" s="11" t="s">
        <v>187</v>
      </c>
      <c r="Q138" s="11" t="s">
        <v>187</v>
      </c>
      <c r="R138" s="3">
        <v>270</v>
      </c>
      <c r="S138" s="11" t="s">
        <v>188</v>
      </c>
      <c r="T138" s="12" t="s">
        <v>26</v>
      </c>
      <c r="U138" s="12" t="s">
        <v>222</v>
      </c>
      <c r="V138" s="12"/>
      <c r="W138" s="51" t="s">
        <v>5</v>
      </c>
      <c r="X138" s="8"/>
      <c r="Y138" s="13" t="s">
        <v>100</v>
      </c>
      <c r="Z138" s="25" t="s">
        <v>92</v>
      </c>
      <c r="AA138" s="10" t="s">
        <v>436</v>
      </c>
      <c r="AB138" s="12" t="s">
        <v>8</v>
      </c>
      <c r="AC138" s="52"/>
      <c r="AD138" s="52"/>
      <c r="AE138" s="7"/>
      <c r="AF138" s="7"/>
      <c r="AG138" s="7"/>
      <c r="AH138" s="33"/>
      <c r="AI138" s="7"/>
      <c r="AJ138" s="409"/>
      <c r="AK138" s="27"/>
      <c r="AL138" s="27">
        <v>8500</v>
      </c>
      <c r="AM138" s="33">
        <f t="shared" si="143"/>
        <v>8500</v>
      </c>
      <c r="AN138" s="36"/>
      <c r="AO138" s="36"/>
      <c r="AP138" s="7">
        <f t="shared" si="132"/>
        <v>0</v>
      </c>
      <c r="AQ138" s="36"/>
      <c r="AR138" s="36"/>
      <c r="AS138" s="7">
        <f t="shared" si="148"/>
        <v>0</v>
      </c>
      <c r="AT138" s="36"/>
      <c r="AU138" s="36"/>
      <c r="AV138" s="7">
        <f t="shared" si="149"/>
        <v>0</v>
      </c>
      <c r="AW138" s="7"/>
      <c r="AX138" s="7"/>
      <c r="AY138" s="7">
        <f t="shared" ref="AY138:AY201" si="199">AW138+AX138</f>
        <v>0</v>
      </c>
      <c r="AZ138" s="7"/>
      <c r="BA138" s="7"/>
      <c r="BB138" s="7"/>
      <c r="BC138" s="7"/>
      <c r="BD138" s="7"/>
      <c r="BE138" s="7"/>
      <c r="BF138" s="7"/>
      <c r="BG138" s="7"/>
      <c r="BH138" s="7"/>
      <c r="BI138" s="7"/>
      <c r="BJ138" s="7"/>
      <c r="BK138" s="7"/>
      <c r="BL138" s="7"/>
      <c r="BM138" s="7"/>
      <c r="BN138" s="7">
        <f t="shared" si="139"/>
        <v>0</v>
      </c>
      <c r="BO138" s="7"/>
      <c r="BP138" s="7"/>
      <c r="BQ138" s="7">
        <f t="shared" si="140"/>
        <v>0</v>
      </c>
      <c r="BR138" s="7"/>
      <c r="BS138" s="7"/>
      <c r="BT138" s="7">
        <f t="shared" si="141"/>
        <v>0</v>
      </c>
      <c r="BU138" s="7"/>
      <c r="BV138" s="7"/>
      <c r="BW138" s="7">
        <f t="shared" si="142"/>
        <v>0</v>
      </c>
      <c r="BX138" s="33"/>
      <c r="BY138" s="7">
        <f t="shared" si="109"/>
        <v>0</v>
      </c>
      <c r="BZ138" s="7">
        <f t="shared" si="110"/>
        <v>0</v>
      </c>
      <c r="CA138" s="7"/>
      <c r="CB138" s="7">
        <f t="shared" si="111"/>
        <v>8500</v>
      </c>
      <c r="CC138" s="7">
        <f t="shared" si="112"/>
        <v>8500</v>
      </c>
      <c r="CD138" s="15">
        <f t="shared" si="113"/>
        <v>0</v>
      </c>
      <c r="CE138" s="15">
        <f t="shared" si="114"/>
        <v>0</v>
      </c>
      <c r="CF138" s="451" t="s">
        <v>773</v>
      </c>
      <c r="CG138" s="7"/>
      <c r="CH138" s="33"/>
      <c r="CI138" s="33"/>
      <c r="CJ138" s="33"/>
      <c r="CK138" s="52"/>
      <c r="CL138" s="7"/>
      <c r="CM138" s="52"/>
      <c r="CN138" s="7"/>
      <c r="CO138" s="52"/>
      <c r="CP138" s="52"/>
      <c r="CQ138" s="7"/>
      <c r="CR138" s="7"/>
      <c r="CS138" s="7"/>
      <c r="CT138" s="52"/>
      <c r="CU138" s="52"/>
      <c r="CV138" s="7"/>
      <c r="CW138" s="52"/>
      <c r="CX138" s="52"/>
      <c r="CY138" s="7"/>
      <c r="CZ138" s="52"/>
      <c r="DA138" s="52"/>
      <c r="DB138" s="7"/>
      <c r="DC138" s="52"/>
      <c r="DD138" s="7"/>
      <c r="DE138" s="52"/>
      <c r="DF138" s="7"/>
      <c r="DG138" s="52"/>
      <c r="DH138" s="7"/>
      <c r="DI138" s="52"/>
      <c r="DJ138" s="7"/>
      <c r="DK138" s="52"/>
      <c r="DL138" s="7"/>
      <c r="DM138" s="52"/>
      <c r="DN138" s="7"/>
      <c r="DO138" s="52"/>
      <c r="DP138" s="14"/>
      <c r="DQ138" s="14"/>
      <c r="DR138" s="7"/>
      <c r="DS138" s="7"/>
      <c r="DT138" s="7"/>
      <c r="DU138" s="15"/>
      <c r="DV138" s="15"/>
      <c r="DW138" s="15"/>
      <c r="DX138" s="15"/>
      <c r="DY138" s="7"/>
      <c r="DZ138" s="59"/>
      <c r="EA138" s="319"/>
    </row>
    <row r="139" spans="1:131" s="10" customFormat="1" x14ac:dyDescent="0.25">
      <c r="A139" s="10" t="s">
        <v>82</v>
      </c>
      <c r="B139" s="24"/>
      <c r="C139" s="8" t="s">
        <v>626</v>
      </c>
      <c r="D139" s="24"/>
      <c r="E139" s="3">
        <v>535010</v>
      </c>
      <c r="F139" s="353">
        <v>5</v>
      </c>
      <c r="G139" s="359" t="s">
        <v>186</v>
      </c>
      <c r="H139" s="353">
        <v>1513</v>
      </c>
      <c r="I139" s="9" t="s">
        <v>246</v>
      </c>
      <c r="J139" s="10" t="s">
        <v>14</v>
      </c>
      <c r="K139" s="3">
        <v>4</v>
      </c>
      <c r="L139" s="11" t="s">
        <v>187</v>
      </c>
      <c r="M139" s="45"/>
      <c r="N139" s="11" t="s">
        <v>186</v>
      </c>
      <c r="O139" s="11" t="s">
        <v>582</v>
      </c>
      <c r="P139" s="11" t="s">
        <v>187</v>
      </c>
      <c r="Q139" s="11" t="s">
        <v>187</v>
      </c>
      <c r="R139" s="3">
        <v>270</v>
      </c>
      <c r="S139" s="11" t="s">
        <v>188</v>
      </c>
      <c r="T139" s="12" t="s">
        <v>26</v>
      </c>
      <c r="U139" s="12" t="s">
        <v>222</v>
      </c>
      <c r="V139" s="12"/>
      <c r="W139" s="12" t="s">
        <v>5</v>
      </c>
      <c r="X139" s="8"/>
      <c r="Y139" s="13" t="s">
        <v>100</v>
      </c>
      <c r="Z139" s="25" t="s">
        <v>92</v>
      </c>
      <c r="AA139" s="10" t="s">
        <v>436</v>
      </c>
      <c r="AB139" s="12" t="s">
        <v>8</v>
      </c>
      <c r="AC139" s="52"/>
      <c r="AD139" s="52"/>
      <c r="AE139" s="7"/>
      <c r="AF139" s="7"/>
      <c r="AG139" s="7"/>
      <c r="AH139" s="33"/>
      <c r="AI139" s="7"/>
      <c r="AJ139" s="409"/>
      <c r="AK139" s="27"/>
      <c r="AL139" s="27">
        <v>39900</v>
      </c>
      <c r="AM139" s="33">
        <f t="shared" si="143"/>
        <v>39900</v>
      </c>
      <c r="AN139" s="36"/>
      <c r="AO139" s="36"/>
      <c r="AP139" s="7">
        <f t="shared" si="132"/>
        <v>0</v>
      </c>
      <c r="AQ139" s="36"/>
      <c r="AR139" s="36"/>
      <c r="AS139" s="7">
        <f t="shared" si="148"/>
        <v>0</v>
      </c>
      <c r="AT139" s="36"/>
      <c r="AU139" s="36"/>
      <c r="AV139" s="7">
        <f t="shared" si="149"/>
        <v>0</v>
      </c>
      <c r="AW139" s="7"/>
      <c r="AX139" s="7"/>
      <c r="AY139" s="7">
        <f t="shared" si="199"/>
        <v>0</v>
      </c>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33"/>
      <c r="BY139" s="7">
        <f t="shared" si="109"/>
        <v>0</v>
      </c>
      <c r="BZ139" s="7">
        <f t="shared" si="110"/>
        <v>0</v>
      </c>
      <c r="CA139" s="7"/>
      <c r="CB139" s="7">
        <f t="shared" si="111"/>
        <v>39900</v>
      </c>
      <c r="CC139" s="7">
        <f t="shared" si="112"/>
        <v>39900</v>
      </c>
      <c r="CD139" s="15">
        <f t="shared" si="113"/>
        <v>0</v>
      </c>
      <c r="CE139" s="15">
        <f t="shared" si="114"/>
        <v>0</v>
      </c>
      <c r="CF139" s="451" t="s">
        <v>773</v>
      </c>
      <c r="CG139" s="7"/>
      <c r="CH139" s="33"/>
      <c r="CI139" s="33"/>
      <c r="CJ139" s="33"/>
      <c r="CK139" s="52"/>
      <c r="CL139" s="7"/>
      <c r="CM139" s="52"/>
      <c r="CN139" s="7"/>
      <c r="CO139" s="52"/>
      <c r="CP139" s="52"/>
      <c r="CQ139" s="7"/>
      <c r="CR139" s="7"/>
      <c r="CS139" s="7"/>
      <c r="CT139" s="52"/>
      <c r="CU139" s="52"/>
      <c r="CV139" s="7"/>
      <c r="CW139" s="52"/>
      <c r="CX139" s="52"/>
      <c r="CY139" s="7"/>
      <c r="CZ139" s="52"/>
      <c r="DA139" s="52"/>
      <c r="DB139" s="7"/>
      <c r="DC139" s="52"/>
      <c r="DD139" s="7"/>
      <c r="DE139" s="52"/>
      <c r="DF139" s="7"/>
      <c r="DG139" s="52"/>
      <c r="DH139" s="7"/>
      <c r="DI139" s="52"/>
      <c r="DJ139" s="7"/>
      <c r="DK139" s="52"/>
      <c r="DL139" s="7"/>
      <c r="DM139" s="52"/>
      <c r="DN139" s="7"/>
      <c r="DO139" s="52"/>
      <c r="DP139" s="14"/>
      <c r="DQ139" s="14"/>
      <c r="DR139" s="7"/>
      <c r="DS139" s="7"/>
      <c r="DT139" s="7"/>
      <c r="DU139" s="15"/>
      <c r="DV139" s="15"/>
      <c r="DW139" s="15"/>
      <c r="DX139" s="15"/>
      <c r="DY139" s="7"/>
      <c r="DZ139" s="59"/>
      <c r="EA139" s="319"/>
    </row>
    <row r="140" spans="1:131" s="10" customFormat="1" ht="45.75" x14ac:dyDescent="0.25">
      <c r="A140" s="10" t="s">
        <v>82</v>
      </c>
      <c r="B140" s="24" t="s">
        <v>63</v>
      </c>
      <c r="C140" s="10" t="s">
        <v>234</v>
      </c>
      <c r="D140" s="24"/>
      <c r="E140" s="26">
        <v>535025</v>
      </c>
      <c r="F140" s="354">
        <v>4</v>
      </c>
      <c r="G140" s="360" t="s">
        <v>187</v>
      </c>
      <c r="H140" s="354">
        <v>1524</v>
      </c>
      <c r="I140" s="9" t="s">
        <v>14</v>
      </c>
      <c r="J140" s="10" t="s">
        <v>14</v>
      </c>
      <c r="K140" s="3">
        <v>4</v>
      </c>
      <c r="L140" s="11" t="s">
        <v>187</v>
      </c>
      <c r="M140" s="45"/>
      <c r="N140" s="11" t="s">
        <v>186</v>
      </c>
      <c r="O140" s="3" t="s">
        <v>186</v>
      </c>
      <c r="P140" s="3" t="s">
        <v>187</v>
      </c>
      <c r="Q140" s="3" t="s">
        <v>187</v>
      </c>
      <c r="R140" s="11" t="s">
        <v>197</v>
      </c>
      <c r="S140" s="3" t="s">
        <v>188</v>
      </c>
      <c r="T140" s="12" t="s">
        <v>518</v>
      </c>
      <c r="U140" s="12"/>
      <c r="V140" s="12" t="s">
        <v>222</v>
      </c>
      <c r="W140" s="12" t="s">
        <v>14</v>
      </c>
      <c r="X140" s="8" t="s">
        <v>51</v>
      </c>
      <c r="Y140" s="25" t="s">
        <v>69</v>
      </c>
      <c r="Z140" s="349" t="s">
        <v>147</v>
      </c>
      <c r="AA140" s="252" t="s">
        <v>508</v>
      </c>
      <c r="AB140" s="12" t="s">
        <v>8</v>
      </c>
      <c r="AC140" s="7">
        <f>20000000-600000-470000-555000-420000-3000000-3600000-1700000-1007000-356500-730100-373500-235500-210400-900000-556300</f>
        <v>5285700</v>
      </c>
      <c r="AD140" s="7"/>
      <c r="AE140" s="7">
        <v>438631.88</v>
      </c>
      <c r="AF140" s="7"/>
      <c r="AG140" s="7">
        <f t="shared" si="150"/>
        <v>438631.88</v>
      </c>
      <c r="AH140" s="33">
        <v>29084305</v>
      </c>
      <c r="AI140" s="7">
        <f t="shared" si="151"/>
        <v>29522936.879999999</v>
      </c>
      <c r="AJ140" s="409"/>
      <c r="AK140" s="27">
        <v>40000000</v>
      </c>
      <c r="AL140" s="36"/>
      <c r="AM140" s="33">
        <f t="shared" si="143"/>
        <v>40000000</v>
      </c>
      <c r="AN140" s="36">
        <v>0</v>
      </c>
      <c r="AO140" s="36">
        <v>0</v>
      </c>
      <c r="AP140" s="7">
        <f t="shared" si="132"/>
        <v>0</v>
      </c>
      <c r="AQ140" s="36">
        <v>153718.89000000001</v>
      </c>
      <c r="AR140" s="36"/>
      <c r="AS140" s="7">
        <f t="shared" si="148"/>
        <v>153718.89000000001</v>
      </c>
      <c r="AT140" s="36">
        <v>531767.37</v>
      </c>
      <c r="AU140" s="36"/>
      <c r="AV140" s="7">
        <f t="shared" si="149"/>
        <v>531767.37</v>
      </c>
      <c r="AW140" s="7">
        <v>2301904.56</v>
      </c>
      <c r="AX140" s="7"/>
      <c r="AY140" s="7">
        <f t="shared" si="199"/>
        <v>2301904.56</v>
      </c>
      <c r="AZ140" s="7"/>
      <c r="BA140" s="7"/>
      <c r="BB140" s="7">
        <f t="shared" si="135"/>
        <v>0</v>
      </c>
      <c r="BC140" s="7"/>
      <c r="BD140" s="7"/>
      <c r="BE140" s="7">
        <f t="shared" si="136"/>
        <v>0</v>
      </c>
      <c r="BF140" s="7"/>
      <c r="BG140" s="7"/>
      <c r="BH140" s="7">
        <f t="shared" si="137"/>
        <v>0</v>
      </c>
      <c r="BI140" s="7"/>
      <c r="BJ140" s="7"/>
      <c r="BK140" s="7">
        <f t="shared" si="138"/>
        <v>0</v>
      </c>
      <c r="BL140" s="7"/>
      <c r="BM140" s="7"/>
      <c r="BN140" s="7">
        <f t="shared" si="139"/>
        <v>0</v>
      </c>
      <c r="BO140" s="7"/>
      <c r="BP140" s="7"/>
      <c r="BQ140" s="7">
        <f t="shared" si="140"/>
        <v>0</v>
      </c>
      <c r="BR140" s="7"/>
      <c r="BS140" s="7"/>
      <c r="BT140" s="7">
        <f t="shared" si="141"/>
        <v>0</v>
      </c>
      <c r="BU140" s="7"/>
      <c r="BV140" s="7"/>
      <c r="BW140" s="7">
        <f t="shared" si="142"/>
        <v>0</v>
      </c>
      <c r="BX140" s="33">
        <v>6066374.7300000004</v>
      </c>
      <c r="BY140" s="7">
        <f t="shared" si="109"/>
        <v>2987390.8200000003</v>
      </c>
      <c r="BZ140" s="7">
        <f t="shared" si="110"/>
        <v>2987390.8200000003</v>
      </c>
      <c r="CA140" s="7"/>
      <c r="CB140" s="7">
        <f t="shared" si="111"/>
        <v>37012609.18</v>
      </c>
      <c r="CC140" s="7">
        <f t="shared" si="112"/>
        <v>37012609.18</v>
      </c>
      <c r="CD140" s="15">
        <f t="shared" si="113"/>
        <v>7.4684770500000011E-2</v>
      </c>
      <c r="CE140" s="15">
        <f t="shared" si="114"/>
        <v>7.4684770500000011E-2</v>
      </c>
      <c r="CF140" s="451" t="s">
        <v>830</v>
      </c>
      <c r="CG140" s="7">
        <v>50000000</v>
      </c>
      <c r="CH140" s="33">
        <v>60000000</v>
      </c>
      <c r="CI140" s="33"/>
      <c r="CJ140" s="33"/>
      <c r="CK140" s="7"/>
      <c r="CL140" s="7">
        <f t="shared" si="115"/>
        <v>0</v>
      </c>
      <c r="CM140" s="7"/>
      <c r="CN140" s="7">
        <f>CM140</f>
        <v>0</v>
      </c>
      <c r="CO140" s="7"/>
      <c r="CP140" s="7"/>
      <c r="CQ140" s="7">
        <f t="shared" si="153"/>
        <v>0</v>
      </c>
      <c r="CR140" s="7">
        <f>CK140+CM140+CO140</f>
        <v>0</v>
      </c>
      <c r="CS140" s="7">
        <f>CL140+CN140+CQ140</f>
        <v>0</v>
      </c>
      <c r="CT140" s="7"/>
      <c r="CU140" s="7"/>
      <c r="CV140" s="7">
        <f t="shared" si="198"/>
        <v>0</v>
      </c>
      <c r="CW140" s="7"/>
      <c r="CX140" s="7"/>
      <c r="CY140" s="7">
        <f t="shared" si="154"/>
        <v>0</v>
      </c>
      <c r="CZ140" s="7"/>
      <c r="DA140" s="7"/>
      <c r="DB140" s="7">
        <f t="shared" si="155"/>
        <v>0</v>
      </c>
      <c r="DC140" s="7"/>
      <c r="DD140" s="7">
        <f t="shared" si="122"/>
        <v>0</v>
      </c>
      <c r="DE140" s="7"/>
      <c r="DF140" s="7">
        <f t="shared" si="123"/>
        <v>0</v>
      </c>
      <c r="DG140" s="7"/>
      <c r="DH140" s="7">
        <f t="shared" si="124"/>
        <v>0</v>
      </c>
      <c r="DI140" s="7"/>
      <c r="DJ140" s="7">
        <f t="shared" si="125"/>
        <v>0</v>
      </c>
      <c r="DK140" s="7"/>
      <c r="DL140" s="7">
        <f t="shared" si="126"/>
        <v>0</v>
      </c>
      <c r="DM140" s="7"/>
      <c r="DN140" s="7">
        <f t="shared" si="127"/>
        <v>0</v>
      </c>
      <c r="DO140" s="7"/>
      <c r="DP140" s="14">
        <f t="shared" si="152"/>
        <v>0</v>
      </c>
      <c r="DQ140" s="14">
        <f t="shared" si="157"/>
        <v>0</v>
      </c>
      <c r="DR140" s="7"/>
      <c r="DS140" s="7">
        <f t="shared" si="156"/>
        <v>438631.88</v>
      </c>
      <c r="DT140" s="7">
        <f t="shared" si="158"/>
        <v>438631.88</v>
      </c>
      <c r="DU140" s="15">
        <f t="shared" si="159"/>
        <v>0</v>
      </c>
      <c r="DV140" s="15">
        <f t="shared" si="160"/>
        <v>0</v>
      </c>
      <c r="DW140" s="15"/>
      <c r="DX140" s="15"/>
      <c r="DY140" s="7"/>
      <c r="DZ140" s="27"/>
      <c r="EA140" s="319"/>
    </row>
    <row r="141" spans="1:131" s="10" customFormat="1" ht="45.75" x14ac:dyDescent="0.25">
      <c r="A141" s="10" t="s">
        <v>82</v>
      </c>
      <c r="B141" s="24" t="s">
        <v>63</v>
      </c>
      <c r="C141" s="10" t="s">
        <v>234</v>
      </c>
      <c r="D141" s="24"/>
      <c r="E141" s="26">
        <v>535025</v>
      </c>
      <c r="F141" s="354">
        <v>4</v>
      </c>
      <c r="G141" s="360" t="s">
        <v>187</v>
      </c>
      <c r="H141" s="354">
        <v>1525</v>
      </c>
      <c r="I141" s="9" t="s">
        <v>14</v>
      </c>
      <c r="J141" s="10" t="s">
        <v>14</v>
      </c>
      <c r="K141" s="3">
        <v>4</v>
      </c>
      <c r="L141" s="11" t="s">
        <v>187</v>
      </c>
      <c r="M141" s="45"/>
      <c r="N141" s="11" t="s">
        <v>186</v>
      </c>
      <c r="O141" s="3" t="s">
        <v>186</v>
      </c>
      <c r="P141" s="3" t="s">
        <v>187</v>
      </c>
      <c r="Q141" s="3" t="s">
        <v>187</v>
      </c>
      <c r="R141" s="11" t="s">
        <v>197</v>
      </c>
      <c r="S141" s="3" t="s">
        <v>188</v>
      </c>
      <c r="T141" s="12" t="s">
        <v>518</v>
      </c>
      <c r="U141" s="12"/>
      <c r="V141" s="12" t="s">
        <v>222</v>
      </c>
      <c r="W141" s="12" t="s">
        <v>14</v>
      </c>
      <c r="X141" s="8" t="s">
        <v>51</v>
      </c>
      <c r="Y141" s="25" t="s">
        <v>69</v>
      </c>
      <c r="Z141" s="349" t="s">
        <v>147</v>
      </c>
      <c r="AA141" s="252" t="s">
        <v>450</v>
      </c>
      <c r="AB141" s="12" t="s">
        <v>8</v>
      </c>
      <c r="AC141" s="7"/>
      <c r="AD141" s="7"/>
      <c r="AE141" s="7"/>
      <c r="AF141" s="7"/>
      <c r="AG141" s="7">
        <f t="shared" si="150"/>
        <v>0</v>
      </c>
      <c r="AH141" s="33"/>
      <c r="AI141" s="7">
        <f t="shared" si="151"/>
        <v>0</v>
      </c>
      <c r="AJ141" s="409"/>
      <c r="AK141" s="27">
        <v>40000000</v>
      </c>
      <c r="AL141" s="36"/>
      <c r="AM141" s="33">
        <f t="shared" si="143"/>
        <v>40000000</v>
      </c>
      <c r="AN141" s="36">
        <v>0</v>
      </c>
      <c r="AO141" s="36">
        <v>0</v>
      </c>
      <c r="AP141" s="7">
        <f t="shared" si="132"/>
        <v>0</v>
      </c>
      <c r="AQ141" s="36">
        <v>551972.49</v>
      </c>
      <c r="AR141" s="36"/>
      <c r="AS141" s="7">
        <f t="shared" si="148"/>
        <v>551972.49</v>
      </c>
      <c r="AT141" s="36">
        <v>4746762.37</v>
      </c>
      <c r="AU141" s="36"/>
      <c r="AV141" s="7">
        <f t="shared" si="149"/>
        <v>4746762.37</v>
      </c>
      <c r="AW141" s="7">
        <v>5945207.9500000002</v>
      </c>
      <c r="AX141" s="7"/>
      <c r="AY141" s="7">
        <f t="shared" si="199"/>
        <v>5945207.9500000002</v>
      </c>
      <c r="AZ141" s="7"/>
      <c r="BA141" s="7"/>
      <c r="BB141" s="7">
        <f t="shared" si="135"/>
        <v>0</v>
      </c>
      <c r="BC141" s="7"/>
      <c r="BD141" s="7"/>
      <c r="BE141" s="7">
        <f t="shared" si="136"/>
        <v>0</v>
      </c>
      <c r="BF141" s="7"/>
      <c r="BG141" s="7"/>
      <c r="BH141" s="7">
        <f t="shared" si="137"/>
        <v>0</v>
      </c>
      <c r="BI141" s="7"/>
      <c r="BJ141" s="7"/>
      <c r="BK141" s="7">
        <f t="shared" si="138"/>
        <v>0</v>
      </c>
      <c r="BL141" s="7"/>
      <c r="BM141" s="7"/>
      <c r="BN141" s="7">
        <f t="shared" si="139"/>
        <v>0</v>
      </c>
      <c r="BO141" s="7"/>
      <c r="BP141" s="7"/>
      <c r="BQ141" s="7">
        <f t="shared" si="140"/>
        <v>0</v>
      </c>
      <c r="BR141" s="7"/>
      <c r="BS141" s="7"/>
      <c r="BT141" s="7">
        <f t="shared" si="141"/>
        <v>0</v>
      </c>
      <c r="BU141" s="7"/>
      <c r="BV141" s="7"/>
      <c r="BW141" s="7">
        <f t="shared" si="142"/>
        <v>0</v>
      </c>
      <c r="BX141" s="33">
        <v>8008494.8499999996</v>
      </c>
      <c r="BY141" s="7">
        <f t="shared" si="109"/>
        <v>11243942.810000001</v>
      </c>
      <c r="BZ141" s="7">
        <f t="shared" si="110"/>
        <v>11243942.810000001</v>
      </c>
      <c r="CA141" s="7"/>
      <c r="CB141" s="7">
        <f t="shared" si="111"/>
        <v>28756057.189999998</v>
      </c>
      <c r="CC141" s="7">
        <f t="shared" si="112"/>
        <v>28756057.189999998</v>
      </c>
      <c r="CD141" s="15">
        <f t="shared" si="113"/>
        <v>0.28109857025000001</v>
      </c>
      <c r="CE141" s="15">
        <f t="shared" si="114"/>
        <v>0.28109857025000001</v>
      </c>
      <c r="CF141" s="451" t="s">
        <v>831</v>
      </c>
      <c r="CG141" s="7">
        <v>40000000</v>
      </c>
      <c r="CH141" s="33">
        <v>40000000</v>
      </c>
      <c r="CI141" s="33"/>
      <c r="CJ141" s="33"/>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14"/>
      <c r="DQ141" s="14"/>
      <c r="DR141" s="7"/>
      <c r="DS141" s="7"/>
      <c r="DT141" s="7"/>
      <c r="DU141" s="15"/>
      <c r="DV141" s="15"/>
      <c r="DW141" s="15"/>
      <c r="DX141" s="15"/>
      <c r="DY141" s="7"/>
      <c r="DZ141" s="27"/>
      <c r="EA141" s="319"/>
    </row>
    <row r="142" spans="1:131" s="10" customFormat="1" ht="60.75" x14ac:dyDescent="0.25">
      <c r="A142" s="10" t="s">
        <v>82</v>
      </c>
      <c r="B142" s="24" t="s">
        <v>63</v>
      </c>
      <c r="C142" s="10" t="s">
        <v>234</v>
      </c>
      <c r="D142" s="24"/>
      <c r="E142" s="26">
        <v>535025</v>
      </c>
      <c r="F142" s="354">
        <v>4</v>
      </c>
      <c r="G142" s="354">
        <v>56</v>
      </c>
      <c r="H142" s="354">
        <v>1533</v>
      </c>
      <c r="I142" s="9" t="s">
        <v>14</v>
      </c>
      <c r="J142" s="10" t="s">
        <v>14</v>
      </c>
      <c r="K142" s="3">
        <v>4</v>
      </c>
      <c r="L142" s="3">
        <v>56</v>
      </c>
      <c r="M142" s="45"/>
      <c r="N142" s="3" t="s">
        <v>186</v>
      </c>
      <c r="O142" s="3" t="s">
        <v>186</v>
      </c>
      <c r="P142" s="3" t="s">
        <v>187</v>
      </c>
      <c r="Q142" s="3" t="s">
        <v>187</v>
      </c>
      <c r="R142" s="11" t="s">
        <v>197</v>
      </c>
      <c r="S142" s="3" t="s">
        <v>188</v>
      </c>
      <c r="T142" s="12" t="s">
        <v>21</v>
      </c>
      <c r="U142" s="12" t="s">
        <v>222</v>
      </c>
      <c r="V142" s="12"/>
      <c r="W142" s="12" t="s">
        <v>14</v>
      </c>
      <c r="X142" s="8" t="s">
        <v>51</v>
      </c>
      <c r="Y142" s="25" t="s">
        <v>69</v>
      </c>
      <c r="Z142" s="349" t="s">
        <v>148</v>
      </c>
      <c r="AA142" s="252" t="s">
        <v>446</v>
      </c>
      <c r="AB142" s="12" t="s">
        <v>16</v>
      </c>
      <c r="AC142" s="310">
        <f>26329000-14295000-10705000</f>
        <v>1329000</v>
      </c>
      <c r="AD142" s="310"/>
      <c r="AE142" s="7">
        <f>AC142+AD142</f>
        <v>1329000</v>
      </c>
      <c r="AF142" s="7">
        <v>-1329000</v>
      </c>
      <c r="AG142" s="7">
        <f t="shared" si="150"/>
        <v>0</v>
      </c>
      <c r="AH142" s="33"/>
      <c r="AI142" s="7">
        <f t="shared" si="151"/>
        <v>0</v>
      </c>
      <c r="AJ142" s="409"/>
      <c r="AK142" s="27">
        <v>27000000</v>
      </c>
      <c r="AL142" s="36"/>
      <c r="AM142" s="33">
        <f t="shared" si="143"/>
        <v>27000000</v>
      </c>
      <c r="AN142" s="36">
        <v>34346</v>
      </c>
      <c r="AO142" s="36">
        <v>0</v>
      </c>
      <c r="AP142" s="7">
        <f t="shared" si="132"/>
        <v>34346</v>
      </c>
      <c r="AQ142" s="36">
        <v>128806.07</v>
      </c>
      <c r="AR142" s="36"/>
      <c r="AS142" s="7">
        <f t="shared" si="148"/>
        <v>128806.07</v>
      </c>
      <c r="AT142" s="36">
        <v>2895383.81</v>
      </c>
      <c r="AU142" s="36">
        <v>423386.58</v>
      </c>
      <c r="AV142" s="7">
        <f t="shared" si="149"/>
        <v>3318770.39</v>
      </c>
      <c r="AW142" s="7">
        <v>9399037.3699999992</v>
      </c>
      <c r="AX142" s="7">
        <v>702294.26</v>
      </c>
      <c r="AY142" s="7">
        <f t="shared" si="199"/>
        <v>10101331.629999999</v>
      </c>
      <c r="AZ142" s="7"/>
      <c r="BA142" s="7"/>
      <c r="BB142" s="7">
        <f t="shared" si="135"/>
        <v>0</v>
      </c>
      <c r="BC142" s="7"/>
      <c r="BD142" s="7"/>
      <c r="BE142" s="7">
        <f t="shared" si="136"/>
        <v>0</v>
      </c>
      <c r="BF142" s="7"/>
      <c r="BG142" s="7"/>
      <c r="BH142" s="7">
        <f t="shared" si="137"/>
        <v>0</v>
      </c>
      <c r="BI142" s="7"/>
      <c r="BJ142" s="7"/>
      <c r="BK142" s="7">
        <f t="shared" si="138"/>
        <v>0</v>
      </c>
      <c r="BL142" s="7"/>
      <c r="BM142" s="7"/>
      <c r="BN142" s="7">
        <f t="shared" si="139"/>
        <v>0</v>
      </c>
      <c r="BO142" s="7"/>
      <c r="BP142" s="7"/>
      <c r="BQ142" s="7">
        <f t="shared" si="140"/>
        <v>0</v>
      </c>
      <c r="BR142" s="7"/>
      <c r="BS142" s="7"/>
      <c r="BT142" s="7">
        <f t="shared" si="141"/>
        <v>0</v>
      </c>
      <c r="BU142" s="7"/>
      <c r="BV142" s="7"/>
      <c r="BW142" s="7">
        <f t="shared" si="142"/>
        <v>0</v>
      </c>
      <c r="BX142" s="33">
        <v>2513334.1</v>
      </c>
      <c r="BY142" s="7">
        <f t="shared" si="109"/>
        <v>12457573.25</v>
      </c>
      <c r="BZ142" s="7">
        <f t="shared" si="110"/>
        <v>13583254.09</v>
      </c>
      <c r="CA142" s="7"/>
      <c r="CB142" s="7">
        <f t="shared" si="111"/>
        <v>14542426.75</v>
      </c>
      <c r="CC142" s="7">
        <f t="shared" si="112"/>
        <v>13416745.91</v>
      </c>
      <c r="CD142" s="15">
        <f t="shared" si="113"/>
        <v>0.46139160185185185</v>
      </c>
      <c r="CE142" s="15">
        <f t="shared" si="114"/>
        <v>0.5030834848148148</v>
      </c>
      <c r="CF142" s="451" t="s">
        <v>832</v>
      </c>
      <c r="CG142" s="310">
        <v>27000000</v>
      </c>
      <c r="CH142" s="33">
        <v>12000000</v>
      </c>
      <c r="CI142" s="33"/>
      <c r="CJ142" s="33"/>
      <c r="CK142" s="310"/>
      <c r="CL142" s="7">
        <f>CK142</f>
        <v>0</v>
      </c>
      <c r="CM142" s="310"/>
      <c r="CN142" s="7">
        <f>CM142</f>
        <v>0</v>
      </c>
      <c r="CO142" s="310"/>
      <c r="CP142" s="112"/>
      <c r="CQ142" s="7">
        <f t="shared" si="153"/>
        <v>0</v>
      </c>
      <c r="CR142" s="7">
        <f>CK142+CM142+CO142</f>
        <v>0</v>
      </c>
      <c r="CS142" s="7">
        <f>CL142+CN142+CQ142</f>
        <v>0</v>
      </c>
      <c r="CT142" s="310"/>
      <c r="CU142" s="310"/>
      <c r="CV142" s="7">
        <f t="shared" si="198"/>
        <v>0</v>
      </c>
      <c r="CW142" s="310"/>
      <c r="CX142" s="310"/>
      <c r="CY142" s="7">
        <f>CW142+CX142</f>
        <v>0</v>
      </c>
      <c r="CZ142" s="310"/>
      <c r="DA142" s="310"/>
      <c r="DB142" s="7"/>
      <c r="DC142" s="310"/>
      <c r="DD142" s="7">
        <f>DC142</f>
        <v>0</v>
      </c>
      <c r="DE142" s="310"/>
      <c r="DF142" s="7">
        <f>DE142</f>
        <v>0</v>
      </c>
      <c r="DG142" s="310"/>
      <c r="DH142" s="7">
        <f>DG142</f>
        <v>0</v>
      </c>
      <c r="DI142" s="310"/>
      <c r="DJ142" s="7">
        <f>DI142</f>
        <v>0</v>
      </c>
      <c r="DK142" s="310"/>
      <c r="DL142" s="7">
        <f>DK142</f>
        <v>0</v>
      </c>
      <c r="DM142" s="310"/>
      <c r="DN142" s="7">
        <f>DM142</f>
        <v>0</v>
      </c>
      <c r="DO142" s="310"/>
      <c r="DP142" s="14"/>
      <c r="DQ142" s="14"/>
      <c r="DR142" s="7"/>
      <c r="DS142" s="7"/>
      <c r="DT142" s="7"/>
      <c r="DU142" s="15"/>
      <c r="DV142" s="15"/>
      <c r="DW142" s="15"/>
      <c r="DX142" s="15"/>
      <c r="DY142" s="7"/>
      <c r="DZ142" s="112"/>
      <c r="EA142" s="319"/>
    </row>
    <row r="143" spans="1:131" s="1" customFormat="1" x14ac:dyDescent="0.25">
      <c r="A143" s="10" t="s">
        <v>82</v>
      </c>
      <c r="B143" s="24" t="s">
        <v>63</v>
      </c>
      <c r="C143" s="10" t="s">
        <v>234</v>
      </c>
      <c r="D143" s="24" t="s">
        <v>14</v>
      </c>
      <c r="E143" s="26">
        <v>535025</v>
      </c>
      <c r="F143" s="354">
        <v>4</v>
      </c>
      <c r="G143" s="354">
        <v>36</v>
      </c>
      <c r="H143" s="354">
        <v>1529</v>
      </c>
      <c r="I143" s="9" t="s">
        <v>14</v>
      </c>
      <c r="J143" s="10" t="s">
        <v>14</v>
      </c>
      <c r="K143" s="3">
        <v>4</v>
      </c>
      <c r="L143" s="3">
        <v>36</v>
      </c>
      <c r="M143" s="45"/>
      <c r="N143" s="3" t="s">
        <v>186</v>
      </c>
      <c r="O143" s="3" t="s">
        <v>186</v>
      </c>
      <c r="P143" s="3" t="s">
        <v>187</v>
      </c>
      <c r="Q143" s="3" t="s">
        <v>187</v>
      </c>
      <c r="R143" s="11" t="s">
        <v>197</v>
      </c>
      <c r="S143" s="3" t="s">
        <v>188</v>
      </c>
      <c r="T143" s="12" t="s">
        <v>21</v>
      </c>
      <c r="U143" s="12" t="s">
        <v>222</v>
      </c>
      <c r="V143" s="12"/>
      <c r="W143" s="12" t="s">
        <v>14</v>
      </c>
      <c r="X143" s="8" t="s">
        <v>51</v>
      </c>
      <c r="Y143" s="25" t="s">
        <v>69</v>
      </c>
      <c r="Z143" s="349" t="s">
        <v>93</v>
      </c>
      <c r="AA143" s="252" t="s">
        <v>509</v>
      </c>
      <c r="AB143" s="110" t="s">
        <v>37</v>
      </c>
      <c r="AC143" s="7">
        <f>2000000-400000</f>
        <v>1600000</v>
      </c>
      <c r="AD143" s="7"/>
      <c r="AE143" s="7">
        <f>AC143+AD143</f>
        <v>1600000</v>
      </c>
      <c r="AF143" s="7"/>
      <c r="AG143" s="7">
        <f t="shared" si="150"/>
        <v>1600000</v>
      </c>
      <c r="AH143" s="33"/>
      <c r="AI143" s="7">
        <f t="shared" si="151"/>
        <v>1600000</v>
      </c>
      <c r="AJ143" s="409"/>
      <c r="AK143" s="7">
        <v>5000000</v>
      </c>
      <c r="AL143" s="33"/>
      <c r="AM143" s="33">
        <f t="shared" si="143"/>
        <v>5000000</v>
      </c>
      <c r="AN143" s="33">
        <v>0</v>
      </c>
      <c r="AO143" s="33">
        <v>0</v>
      </c>
      <c r="AP143" s="7">
        <f t="shared" si="132"/>
        <v>0</v>
      </c>
      <c r="AQ143" s="33"/>
      <c r="AR143" s="33"/>
      <c r="AS143" s="7">
        <f t="shared" si="148"/>
        <v>0</v>
      </c>
      <c r="AT143" s="33"/>
      <c r="AU143" s="33"/>
      <c r="AV143" s="7">
        <f t="shared" si="149"/>
        <v>0</v>
      </c>
      <c r="AW143" s="7"/>
      <c r="AX143" s="7"/>
      <c r="AY143" s="7">
        <f t="shared" si="199"/>
        <v>0</v>
      </c>
      <c r="AZ143" s="7"/>
      <c r="BA143" s="7"/>
      <c r="BB143" s="7">
        <f t="shared" si="135"/>
        <v>0</v>
      </c>
      <c r="BC143" s="7"/>
      <c r="BD143" s="7"/>
      <c r="BE143" s="7">
        <f t="shared" si="136"/>
        <v>0</v>
      </c>
      <c r="BF143" s="7"/>
      <c r="BG143" s="7"/>
      <c r="BH143" s="7">
        <f t="shared" si="137"/>
        <v>0</v>
      </c>
      <c r="BI143" s="7"/>
      <c r="BJ143" s="7"/>
      <c r="BK143" s="7">
        <f t="shared" si="138"/>
        <v>0</v>
      </c>
      <c r="BL143" s="7"/>
      <c r="BM143" s="7"/>
      <c r="BN143" s="7">
        <f t="shared" si="139"/>
        <v>0</v>
      </c>
      <c r="BO143" s="7"/>
      <c r="BP143" s="7"/>
      <c r="BQ143" s="7">
        <f t="shared" si="140"/>
        <v>0</v>
      </c>
      <c r="BR143" s="7"/>
      <c r="BS143" s="7"/>
      <c r="BT143" s="7">
        <f t="shared" si="141"/>
        <v>0</v>
      </c>
      <c r="BU143" s="7"/>
      <c r="BV143" s="7"/>
      <c r="BW143" s="7">
        <f t="shared" si="142"/>
        <v>0</v>
      </c>
      <c r="BX143" s="7"/>
      <c r="BY143" s="7">
        <f t="shared" si="109"/>
        <v>0</v>
      </c>
      <c r="BZ143" s="7">
        <f t="shared" si="110"/>
        <v>0</v>
      </c>
      <c r="CA143" s="7"/>
      <c r="CB143" s="7">
        <f t="shared" si="111"/>
        <v>5000000</v>
      </c>
      <c r="CC143" s="7">
        <f t="shared" si="112"/>
        <v>5000000</v>
      </c>
      <c r="CD143" s="15">
        <f t="shared" si="113"/>
        <v>0</v>
      </c>
      <c r="CE143" s="15">
        <f t="shared" si="114"/>
        <v>0</v>
      </c>
      <c r="CF143" s="451" t="s">
        <v>685</v>
      </c>
      <c r="CG143" s="7">
        <v>5000000</v>
      </c>
      <c r="CH143" s="7">
        <v>5000000</v>
      </c>
      <c r="CI143" s="7"/>
      <c r="CJ143" s="7"/>
      <c r="CK143" s="7"/>
      <c r="CL143" s="7">
        <f>CK143</f>
        <v>0</v>
      </c>
      <c r="CM143" s="7"/>
      <c r="CN143" s="7">
        <f>CM143</f>
        <v>0</v>
      </c>
      <c r="CO143" s="7"/>
      <c r="CP143" s="7">
        <v>0</v>
      </c>
      <c r="CQ143" s="7">
        <f>CO143+CP143</f>
        <v>0</v>
      </c>
      <c r="CR143" s="7">
        <f>CK143+CM143+CO143</f>
        <v>0</v>
      </c>
      <c r="CS143" s="7">
        <f>CL143+CN143+CQ143</f>
        <v>0</v>
      </c>
      <c r="CT143" s="7"/>
      <c r="CU143" s="7"/>
      <c r="CV143" s="7">
        <f t="shared" si="198"/>
        <v>0</v>
      </c>
      <c r="CW143" s="7"/>
      <c r="CX143" s="7"/>
      <c r="CY143" s="7">
        <f>CW143+CX143</f>
        <v>0</v>
      </c>
      <c r="CZ143" s="7"/>
      <c r="DA143" s="7"/>
      <c r="DB143" s="7">
        <f>CZ143+DA143</f>
        <v>0</v>
      </c>
      <c r="DC143" s="7"/>
      <c r="DD143" s="7">
        <f>DC143</f>
        <v>0</v>
      </c>
      <c r="DE143" s="7"/>
      <c r="DF143" s="7">
        <f>DE143</f>
        <v>0</v>
      </c>
      <c r="DG143" s="7"/>
      <c r="DH143" s="7">
        <f>DG143</f>
        <v>0</v>
      </c>
      <c r="DI143" s="7"/>
      <c r="DJ143" s="7">
        <f>DI143</f>
        <v>0</v>
      </c>
      <c r="DK143" s="7"/>
      <c r="DL143" s="7">
        <f>DK143</f>
        <v>0</v>
      </c>
      <c r="DM143" s="7"/>
      <c r="DN143" s="7">
        <f>DM143</f>
        <v>0</v>
      </c>
      <c r="DO143" s="7"/>
      <c r="DP143" s="14">
        <f>CK143+CM143+CO143+CT143+CW143+CZ143+DC143+DE143+DG143+DI143+DK143+DM143</f>
        <v>0</v>
      </c>
      <c r="DQ143" s="14">
        <f>CL143+CN143+CQ143+CV143+CY143+DB143</f>
        <v>0</v>
      </c>
      <c r="DR143" s="7"/>
      <c r="DS143" s="7">
        <f>AG143-DP143</f>
        <v>1600000</v>
      </c>
      <c r="DT143" s="7">
        <f>AG143-DQ143</f>
        <v>1600000</v>
      </c>
      <c r="DU143" s="15">
        <f>DP143/AG143</f>
        <v>0</v>
      </c>
      <c r="DV143" s="15">
        <f>DQ143/AG143</f>
        <v>0</v>
      </c>
      <c r="DW143" s="7">
        <v>5000000</v>
      </c>
      <c r="DX143" s="7"/>
      <c r="DY143" s="7"/>
      <c r="DZ143" s="27"/>
      <c r="EA143" s="109"/>
    </row>
    <row r="144" spans="1:131" s="1" customFormat="1" x14ac:dyDescent="0.25">
      <c r="A144" s="10" t="s">
        <v>82</v>
      </c>
      <c r="B144" s="24" t="s">
        <v>63</v>
      </c>
      <c r="C144" s="10" t="s">
        <v>234</v>
      </c>
      <c r="D144" s="113" t="s">
        <v>14</v>
      </c>
      <c r="E144" s="26">
        <v>535025</v>
      </c>
      <c r="F144" s="354">
        <v>4</v>
      </c>
      <c r="G144" s="354">
        <v>36</v>
      </c>
      <c r="H144" s="354">
        <v>1530</v>
      </c>
      <c r="I144" s="9" t="s">
        <v>14</v>
      </c>
      <c r="J144" s="10" t="s">
        <v>14</v>
      </c>
      <c r="K144" s="3">
        <v>4</v>
      </c>
      <c r="L144" s="3">
        <v>36</v>
      </c>
      <c r="M144" s="45"/>
      <c r="N144" s="3" t="s">
        <v>186</v>
      </c>
      <c r="O144" s="3" t="s">
        <v>186</v>
      </c>
      <c r="P144" s="3" t="s">
        <v>187</v>
      </c>
      <c r="Q144" s="3" t="s">
        <v>187</v>
      </c>
      <c r="R144" s="11" t="s">
        <v>197</v>
      </c>
      <c r="S144" s="3" t="s">
        <v>188</v>
      </c>
      <c r="T144" s="12" t="s">
        <v>21</v>
      </c>
      <c r="U144" s="12" t="s">
        <v>222</v>
      </c>
      <c r="V144" s="12"/>
      <c r="W144" s="12" t="s">
        <v>14</v>
      </c>
      <c r="X144" s="8" t="s">
        <v>51</v>
      </c>
      <c r="Y144" s="25" t="s">
        <v>69</v>
      </c>
      <c r="Z144" s="349" t="s">
        <v>149</v>
      </c>
      <c r="AA144" s="10" t="s">
        <v>119</v>
      </c>
      <c r="AB144" s="110" t="s">
        <v>37</v>
      </c>
      <c r="AC144" s="7">
        <v>10000000</v>
      </c>
      <c r="AD144" s="7"/>
      <c r="AE144" s="7">
        <f>AC144+AD144</f>
        <v>10000000</v>
      </c>
      <c r="AF144" s="7"/>
      <c r="AG144" s="7">
        <f t="shared" si="150"/>
        <v>10000000</v>
      </c>
      <c r="AH144" s="33"/>
      <c r="AI144" s="7">
        <f t="shared" si="151"/>
        <v>10000000</v>
      </c>
      <c r="AJ144" s="409"/>
      <c r="AK144" s="7">
        <v>10000000</v>
      </c>
      <c r="AL144" s="33"/>
      <c r="AM144" s="33">
        <f t="shared" si="143"/>
        <v>10000000</v>
      </c>
      <c r="AN144" s="33">
        <v>0</v>
      </c>
      <c r="AO144" s="33">
        <v>0</v>
      </c>
      <c r="AP144" s="7">
        <f t="shared" si="132"/>
        <v>0</v>
      </c>
      <c r="AQ144" s="33">
        <v>131675.29</v>
      </c>
      <c r="AR144" s="33">
        <v>18434.54</v>
      </c>
      <c r="AS144" s="7">
        <f t="shared" si="148"/>
        <v>150109.83000000002</v>
      </c>
      <c r="AT144" s="33">
        <v>374455.86</v>
      </c>
      <c r="AU144" s="33">
        <v>52423.82</v>
      </c>
      <c r="AV144" s="7">
        <f t="shared" si="149"/>
        <v>426879.68</v>
      </c>
      <c r="AW144" s="7">
        <v>1598235.55</v>
      </c>
      <c r="AX144" s="7">
        <v>209410.26</v>
      </c>
      <c r="AY144" s="7">
        <f t="shared" si="199"/>
        <v>1807645.81</v>
      </c>
      <c r="AZ144" s="7"/>
      <c r="BA144" s="7"/>
      <c r="BB144" s="7">
        <f t="shared" si="135"/>
        <v>0</v>
      </c>
      <c r="BC144" s="7"/>
      <c r="BD144" s="7"/>
      <c r="BE144" s="7">
        <f t="shared" si="136"/>
        <v>0</v>
      </c>
      <c r="BF144" s="7"/>
      <c r="BG144" s="7"/>
      <c r="BH144" s="7">
        <f t="shared" si="137"/>
        <v>0</v>
      </c>
      <c r="BI144" s="7"/>
      <c r="BJ144" s="7"/>
      <c r="BK144" s="7">
        <f t="shared" si="138"/>
        <v>0</v>
      </c>
      <c r="BL144" s="7"/>
      <c r="BM144" s="7"/>
      <c r="BN144" s="7">
        <f t="shared" si="139"/>
        <v>0</v>
      </c>
      <c r="BO144" s="7"/>
      <c r="BP144" s="7"/>
      <c r="BQ144" s="7">
        <f t="shared" si="140"/>
        <v>0</v>
      </c>
      <c r="BR144" s="7"/>
      <c r="BS144" s="7"/>
      <c r="BT144" s="7">
        <f t="shared" si="141"/>
        <v>0</v>
      </c>
      <c r="BU144" s="7"/>
      <c r="BV144" s="7"/>
      <c r="BW144" s="7">
        <f t="shared" si="142"/>
        <v>0</v>
      </c>
      <c r="BX144" s="7">
        <v>309983.98</v>
      </c>
      <c r="BY144" s="7">
        <f t="shared" si="109"/>
        <v>2104366.7000000002</v>
      </c>
      <c r="BZ144" s="7">
        <f t="shared" si="110"/>
        <v>2384635.3200000003</v>
      </c>
      <c r="CA144" s="7"/>
      <c r="CB144" s="7">
        <f t="shared" si="111"/>
        <v>7895633.2999999998</v>
      </c>
      <c r="CC144" s="7">
        <f t="shared" si="112"/>
        <v>7615364.6799999997</v>
      </c>
      <c r="CD144" s="15">
        <f t="shared" si="113"/>
        <v>0.21043667000000002</v>
      </c>
      <c r="CE144" s="15">
        <f t="shared" si="114"/>
        <v>0.23846353200000003</v>
      </c>
      <c r="CF144" s="451" t="s">
        <v>833</v>
      </c>
      <c r="CG144" s="7">
        <f>15000000</f>
        <v>15000000</v>
      </c>
      <c r="CH144" s="33">
        <v>20000000</v>
      </c>
      <c r="CI144" s="33"/>
      <c r="CJ144" s="33"/>
      <c r="CK144" s="7"/>
      <c r="CL144" s="7">
        <f>CK144</f>
        <v>0</v>
      </c>
      <c r="CM144" s="7">
        <v>799580.21</v>
      </c>
      <c r="CN144" s="7">
        <f>CM144+111941.25</f>
        <v>911521.46</v>
      </c>
      <c r="CO144" s="7"/>
      <c r="CP144" s="7"/>
      <c r="CQ144" s="7">
        <f>CO144+CP144</f>
        <v>0</v>
      </c>
      <c r="CR144" s="7">
        <f>CK144+CM144+CO144</f>
        <v>799580.21</v>
      </c>
      <c r="CS144" s="7">
        <f>CL144+CN144+CQ144</f>
        <v>911521.46</v>
      </c>
      <c r="CT144" s="7">
        <v>4082.92</v>
      </c>
      <c r="CU144" s="7">
        <v>571.61</v>
      </c>
      <c r="CV144" s="7">
        <f t="shared" si="198"/>
        <v>4654.53</v>
      </c>
      <c r="CW144" s="7"/>
      <c r="CX144" s="7"/>
      <c r="CY144" s="7">
        <f>CW144+CX144</f>
        <v>0</v>
      </c>
      <c r="CZ144" s="7"/>
      <c r="DA144" s="7"/>
      <c r="DB144" s="7">
        <f>CZ144+DA144</f>
        <v>0</v>
      </c>
      <c r="DC144" s="7"/>
      <c r="DD144" s="7">
        <f>DC144</f>
        <v>0</v>
      </c>
      <c r="DE144" s="7"/>
      <c r="DF144" s="7">
        <f>DE144</f>
        <v>0</v>
      </c>
      <c r="DG144" s="7"/>
      <c r="DH144" s="7">
        <f>DG144</f>
        <v>0</v>
      </c>
      <c r="DI144" s="7"/>
      <c r="DJ144" s="7">
        <f>DI144</f>
        <v>0</v>
      </c>
      <c r="DK144" s="7"/>
      <c r="DL144" s="7">
        <f>DK144</f>
        <v>0</v>
      </c>
      <c r="DM144" s="7"/>
      <c r="DN144" s="7">
        <f>DM144</f>
        <v>0</v>
      </c>
      <c r="DO144" s="7"/>
      <c r="DP144" s="14">
        <f>CK144+CM144+CO144+CT144+CW144+CZ144+DC144+DE144+DG144+DI144+DK144+DM144</f>
        <v>803663.13</v>
      </c>
      <c r="DQ144" s="14">
        <f>CL144+CN144+CQ144+CV144+CY144+DB144</f>
        <v>916175.99</v>
      </c>
      <c r="DR144" s="7"/>
      <c r="DS144" s="7">
        <f>AG144-DP144</f>
        <v>9196336.8699999992</v>
      </c>
      <c r="DT144" s="7">
        <f>AG144-DQ144</f>
        <v>9083824.0099999998</v>
      </c>
      <c r="DU144" s="15">
        <f>DP144/AG144</f>
        <v>8.0366312999999995E-2</v>
      </c>
      <c r="DV144" s="15">
        <f>DQ144/AG144</f>
        <v>9.1617598999999994E-2</v>
      </c>
      <c r="DW144" s="7">
        <v>25000000</v>
      </c>
      <c r="DX144" s="7"/>
      <c r="DY144" s="7"/>
      <c r="DZ144" s="27"/>
      <c r="EA144" s="109"/>
    </row>
    <row r="145" spans="1:131" s="1" customFormat="1" ht="30.75" x14ac:dyDescent="0.25">
      <c r="A145" s="10" t="s">
        <v>82</v>
      </c>
      <c r="B145" s="24" t="s">
        <v>63</v>
      </c>
      <c r="C145" s="10" t="s">
        <v>234</v>
      </c>
      <c r="D145" s="10" t="s">
        <v>14</v>
      </c>
      <c r="E145" s="26">
        <v>535025</v>
      </c>
      <c r="F145" s="354">
        <v>4</v>
      </c>
      <c r="G145" s="354">
        <v>36</v>
      </c>
      <c r="H145" s="354">
        <v>1531</v>
      </c>
      <c r="I145" s="9" t="s">
        <v>14</v>
      </c>
      <c r="J145" s="10" t="s">
        <v>14</v>
      </c>
      <c r="K145" s="3">
        <v>4</v>
      </c>
      <c r="L145" s="3">
        <v>36</v>
      </c>
      <c r="M145" s="45"/>
      <c r="N145" s="3" t="s">
        <v>186</v>
      </c>
      <c r="O145" s="3" t="s">
        <v>186</v>
      </c>
      <c r="P145" s="3" t="s">
        <v>187</v>
      </c>
      <c r="Q145" s="3" t="s">
        <v>187</v>
      </c>
      <c r="R145" s="11" t="s">
        <v>197</v>
      </c>
      <c r="S145" s="3" t="s">
        <v>188</v>
      </c>
      <c r="T145" s="12" t="s">
        <v>21</v>
      </c>
      <c r="U145" s="12" t="s">
        <v>222</v>
      </c>
      <c r="V145" s="12"/>
      <c r="W145" s="12" t="s">
        <v>14</v>
      </c>
      <c r="X145" s="8" t="s">
        <v>51</v>
      </c>
      <c r="Y145" s="25" t="s">
        <v>69</v>
      </c>
      <c r="Z145" s="349" t="s">
        <v>150</v>
      </c>
      <c r="AA145" s="341" t="s">
        <v>447</v>
      </c>
      <c r="AB145" s="110" t="s">
        <v>37</v>
      </c>
      <c r="AC145" s="7">
        <f>3000000-116300-30000-2000000</f>
        <v>853700</v>
      </c>
      <c r="AD145" s="7"/>
      <c r="AE145" s="7">
        <f>AC145+AD145</f>
        <v>853700</v>
      </c>
      <c r="AF145" s="7"/>
      <c r="AG145" s="7">
        <f t="shared" si="150"/>
        <v>853700</v>
      </c>
      <c r="AH145" s="33"/>
      <c r="AI145" s="7">
        <f t="shared" si="151"/>
        <v>853700</v>
      </c>
      <c r="AJ145" s="409"/>
      <c r="AK145" s="7">
        <v>3500000</v>
      </c>
      <c r="AL145" s="33"/>
      <c r="AM145" s="33">
        <f t="shared" si="143"/>
        <v>3500000</v>
      </c>
      <c r="AN145" s="33">
        <v>0</v>
      </c>
      <c r="AO145" s="33">
        <v>0</v>
      </c>
      <c r="AP145" s="7">
        <f t="shared" si="132"/>
        <v>0</v>
      </c>
      <c r="AQ145" s="33"/>
      <c r="AR145" s="33"/>
      <c r="AS145" s="7">
        <f t="shared" si="148"/>
        <v>0</v>
      </c>
      <c r="AT145" s="33"/>
      <c r="AU145" s="33"/>
      <c r="AV145" s="7">
        <f t="shared" si="149"/>
        <v>0</v>
      </c>
      <c r="AW145" s="7">
        <v>194085.28</v>
      </c>
      <c r="AX145" s="7">
        <v>27171.94</v>
      </c>
      <c r="AY145" s="7">
        <f t="shared" si="199"/>
        <v>221257.22</v>
      </c>
      <c r="AZ145" s="7"/>
      <c r="BA145" s="7"/>
      <c r="BB145" s="7">
        <f t="shared" si="135"/>
        <v>0</v>
      </c>
      <c r="BC145" s="7"/>
      <c r="BD145" s="7"/>
      <c r="BE145" s="7">
        <f t="shared" si="136"/>
        <v>0</v>
      </c>
      <c r="BF145" s="7"/>
      <c r="BG145" s="7"/>
      <c r="BH145" s="7">
        <f t="shared" si="137"/>
        <v>0</v>
      </c>
      <c r="BI145" s="7"/>
      <c r="BJ145" s="7"/>
      <c r="BK145" s="7">
        <f t="shared" si="138"/>
        <v>0</v>
      </c>
      <c r="BL145" s="7"/>
      <c r="BM145" s="7"/>
      <c r="BN145" s="7">
        <f t="shared" si="139"/>
        <v>0</v>
      </c>
      <c r="BO145" s="7"/>
      <c r="BP145" s="7"/>
      <c r="BQ145" s="7">
        <f t="shared" si="140"/>
        <v>0</v>
      </c>
      <c r="BR145" s="7"/>
      <c r="BS145" s="7"/>
      <c r="BT145" s="7">
        <f t="shared" si="141"/>
        <v>0</v>
      </c>
      <c r="BU145" s="7"/>
      <c r="BV145" s="7"/>
      <c r="BW145" s="7">
        <f t="shared" si="142"/>
        <v>0</v>
      </c>
      <c r="BX145" s="7"/>
      <c r="BY145" s="7">
        <f t="shared" si="109"/>
        <v>194085.28</v>
      </c>
      <c r="BZ145" s="7">
        <f t="shared" si="110"/>
        <v>221257.22</v>
      </c>
      <c r="CA145" s="7"/>
      <c r="CB145" s="7">
        <f t="shared" si="111"/>
        <v>3305914.72</v>
      </c>
      <c r="CC145" s="7">
        <f t="shared" si="112"/>
        <v>3278742.78</v>
      </c>
      <c r="CD145" s="15">
        <f t="shared" si="113"/>
        <v>5.5452937142857144E-2</v>
      </c>
      <c r="CE145" s="15">
        <f t="shared" si="114"/>
        <v>6.3216348571428577E-2</v>
      </c>
      <c r="CF145" s="451" t="s">
        <v>685</v>
      </c>
      <c r="CG145" s="7">
        <v>3500000</v>
      </c>
      <c r="CH145" s="7">
        <v>3500000</v>
      </c>
      <c r="CI145" s="7"/>
      <c r="CJ145" s="7"/>
      <c r="CK145" s="7"/>
      <c r="CL145" s="7">
        <f>CK145</f>
        <v>0</v>
      </c>
      <c r="CM145" s="7"/>
      <c r="CN145" s="7">
        <f>CM145</f>
        <v>0</v>
      </c>
      <c r="CO145" s="7"/>
      <c r="CP145" s="7">
        <v>0</v>
      </c>
      <c r="CQ145" s="7">
        <f>CO145+CP145</f>
        <v>0</v>
      </c>
      <c r="CR145" s="7">
        <f>CK145+CM145+CO145</f>
        <v>0</v>
      </c>
      <c r="CS145" s="7">
        <f>CL145+CN145+CQ145</f>
        <v>0</v>
      </c>
      <c r="CT145" s="7"/>
      <c r="CU145" s="7"/>
      <c r="CV145" s="7">
        <f t="shared" si="198"/>
        <v>0</v>
      </c>
      <c r="CW145" s="7"/>
      <c r="CX145" s="7"/>
      <c r="CY145" s="7">
        <f>CW145+CX145</f>
        <v>0</v>
      </c>
      <c r="CZ145" s="7"/>
      <c r="DA145" s="7"/>
      <c r="DB145" s="7">
        <f>CZ145+DA145</f>
        <v>0</v>
      </c>
      <c r="DC145" s="7"/>
      <c r="DD145" s="7">
        <f>DC145</f>
        <v>0</v>
      </c>
      <c r="DE145" s="7"/>
      <c r="DF145" s="7">
        <f>DE145</f>
        <v>0</v>
      </c>
      <c r="DG145" s="7"/>
      <c r="DH145" s="7">
        <f>DG145</f>
        <v>0</v>
      </c>
      <c r="DI145" s="7"/>
      <c r="DJ145" s="7">
        <f>DI145</f>
        <v>0</v>
      </c>
      <c r="DK145" s="7"/>
      <c r="DL145" s="7">
        <f>DK145</f>
        <v>0</v>
      </c>
      <c r="DM145" s="7"/>
      <c r="DN145" s="7">
        <f>DM145</f>
        <v>0</v>
      </c>
      <c r="DO145" s="7"/>
      <c r="DP145" s="14">
        <f>CK145+CM145+CO145+CT145+CW145+CZ145+DC145+DE145+DG145+DI145+DK145+DM145</f>
        <v>0</v>
      </c>
      <c r="DQ145" s="14">
        <f>CL145+CN145+CQ145+CV145+CY145+DB145</f>
        <v>0</v>
      </c>
      <c r="DR145" s="7"/>
      <c r="DS145" s="7">
        <f>AG145-DP145</f>
        <v>853700</v>
      </c>
      <c r="DT145" s="7">
        <f>AG145-DQ145</f>
        <v>853700</v>
      </c>
      <c r="DU145" s="15">
        <f>DP145/AG145</f>
        <v>0</v>
      </c>
      <c r="DV145" s="15">
        <f>DQ145/AG145</f>
        <v>0</v>
      </c>
      <c r="DW145" s="7">
        <v>3500000</v>
      </c>
      <c r="DX145" s="7"/>
      <c r="DY145" s="7"/>
      <c r="DZ145" s="27"/>
      <c r="EA145" s="109"/>
    </row>
    <row r="146" spans="1:131" s="1" customFormat="1" ht="30.75" x14ac:dyDescent="0.25">
      <c r="A146" s="10" t="s">
        <v>82</v>
      </c>
      <c r="B146" s="24" t="s">
        <v>63</v>
      </c>
      <c r="C146" s="10" t="s">
        <v>234</v>
      </c>
      <c r="D146" s="10" t="s">
        <v>14</v>
      </c>
      <c r="E146" s="26">
        <v>535025</v>
      </c>
      <c r="F146" s="354">
        <v>4</v>
      </c>
      <c r="G146" s="354">
        <v>36</v>
      </c>
      <c r="H146" s="354">
        <v>1532</v>
      </c>
      <c r="I146" s="9" t="s">
        <v>14</v>
      </c>
      <c r="J146" s="10" t="s">
        <v>14</v>
      </c>
      <c r="K146" s="3">
        <v>4</v>
      </c>
      <c r="L146" s="3">
        <v>36</v>
      </c>
      <c r="M146" s="45"/>
      <c r="N146" s="3" t="s">
        <v>186</v>
      </c>
      <c r="O146" s="3" t="s">
        <v>186</v>
      </c>
      <c r="P146" s="3" t="s">
        <v>187</v>
      </c>
      <c r="Q146" s="3" t="s">
        <v>187</v>
      </c>
      <c r="R146" s="11" t="s">
        <v>197</v>
      </c>
      <c r="S146" s="3" t="s">
        <v>188</v>
      </c>
      <c r="T146" s="12" t="s">
        <v>518</v>
      </c>
      <c r="U146" s="12"/>
      <c r="V146" s="12" t="s">
        <v>222</v>
      </c>
      <c r="W146" s="12" t="s">
        <v>14</v>
      </c>
      <c r="X146" s="8" t="s">
        <v>51</v>
      </c>
      <c r="Y146" s="25" t="s">
        <v>69</v>
      </c>
      <c r="Z146" s="349" t="s">
        <v>150</v>
      </c>
      <c r="AA146" s="341" t="s">
        <v>524</v>
      </c>
      <c r="AB146" s="110" t="s">
        <v>37</v>
      </c>
      <c r="AC146" s="7"/>
      <c r="AD146" s="7"/>
      <c r="AE146" s="7"/>
      <c r="AF146" s="7"/>
      <c r="AG146" s="7">
        <f t="shared" si="150"/>
        <v>0</v>
      </c>
      <c r="AH146" s="33"/>
      <c r="AI146" s="7">
        <f t="shared" si="151"/>
        <v>0</v>
      </c>
      <c r="AJ146" s="409"/>
      <c r="AK146" s="27">
        <f>42500000-13301000-20000000</f>
        <v>9199000</v>
      </c>
      <c r="AL146" s="36"/>
      <c r="AM146" s="33">
        <f t="shared" si="143"/>
        <v>9199000</v>
      </c>
      <c r="AN146" s="36">
        <v>0</v>
      </c>
      <c r="AO146" s="36">
        <v>0</v>
      </c>
      <c r="AP146" s="7">
        <f t="shared" si="132"/>
        <v>0</v>
      </c>
      <c r="AQ146" s="36"/>
      <c r="AR146" s="36"/>
      <c r="AS146" s="7">
        <f t="shared" si="148"/>
        <v>0</v>
      </c>
      <c r="AT146" s="36"/>
      <c r="AU146" s="36"/>
      <c r="AV146" s="7">
        <f t="shared" si="149"/>
        <v>0</v>
      </c>
      <c r="AW146" s="33"/>
      <c r="AX146" s="33"/>
      <c r="AY146" s="7">
        <f t="shared" si="199"/>
        <v>0</v>
      </c>
      <c r="AZ146" s="33"/>
      <c r="BA146" s="33"/>
      <c r="BB146" s="7">
        <f t="shared" si="135"/>
        <v>0</v>
      </c>
      <c r="BC146" s="33"/>
      <c r="BD146" s="33"/>
      <c r="BE146" s="7">
        <f t="shared" si="136"/>
        <v>0</v>
      </c>
      <c r="BF146" s="33"/>
      <c r="BG146" s="33"/>
      <c r="BH146" s="7">
        <f t="shared" si="137"/>
        <v>0</v>
      </c>
      <c r="BI146" s="33"/>
      <c r="BJ146" s="33"/>
      <c r="BK146" s="7">
        <f t="shared" si="138"/>
        <v>0</v>
      </c>
      <c r="BL146" s="33"/>
      <c r="BM146" s="33"/>
      <c r="BN146" s="7">
        <f t="shared" si="139"/>
        <v>0</v>
      </c>
      <c r="BO146" s="33"/>
      <c r="BP146" s="33"/>
      <c r="BQ146" s="7">
        <f t="shared" si="140"/>
        <v>0</v>
      </c>
      <c r="BR146" s="33"/>
      <c r="BS146" s="33"/>
      <c r="BT146" s="7">
        <f t="shared" si="141"/>
        <v>0</v>
      </c>
      <c r="BU146" s="33"/>
      <c r="BV146" s="33"/>
      <c r="BW146" s="7">
        <f t="shared" si="142"/>
        <v>0</v>
      </c>
      <c r="BX146" s="33"/>
      <c r="BY146" s="7">
        <f t="shared" si="109"/>
        <v>0</v>
      </c>
      <c r="BZ146" s="7">
        <f t="shared" si="110"/>
        <v>0</v>
      </c>
      <c r="CA146" s="33"/>
      <c r="CB146" s="7">
        <f t="shared" si="111"/>
        <v>9199000</v>
      </c>
      <c r="CC146" s="7">
        <f t="shared" si="112"/>
        <v>9199000</v>
      </c>
      <c r="CD146" s="15">
        <f t="shared" si="113"/>
        <v>0</v>
      </c>
      <c r="CE146" s="15">
        <f t="shared" si="114"/>
        <v>0</v>
      </c>
      <c r="CF146" s="450" t="s">
        <v>869</v>
      </c>
      <c r="CG146" s="33">
        <f>26000000-24000000</f>
        <v>2000000</v>
      </c>
      <c r="CH146" s="33">
        <f>26000000-8000000-10000000</f>
        <v>8000000</v>
      </c>
      <c r="CI146" s="33"/>
      <c r="CJ146" s="33"/>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14"/>
      <c r="DQ146" s="14"/>
      <c r="DR146" s="7"/>
      <c r="DS146" s="7"/>
      <c r="DT146" s="7"/>
      <c r="DU146" s="15"/>
      <c r="DV146" s="15"/>
      <c r="DW146" s="15"/>
      <c r="DX146" s="15"/>
      <c r="DY146" s="7"/>
      <c r="DZ146" s="27"/>
      <c r="EA146" s="109"/>
    </row>
    <row r="147" spans="1:131" s="1" customFormat="1" ht="30.75" x14ac:dyDescent="0.25">
      <c r="A147" s="10" t="s">
        <v>82</v>
      </c>
      <c r="B147" s="24" t="s">
        <v>256</v>
      </c>
      <c r="C147" s="10" t="s">
        <v>633</v>
      </c>
      <c r="D147" s="53"/>
      <c r="E147" s="3">
        <v>520005</v>
      </c>
      <c r="F147" s="353">
        <v>4</v>
      </c>
      <c r="G147" s="353">
        <v>75</v>
      </c>
      <c r="H147" s="353">
        <v>1501</v>
      </c>
      <c r="I147" s="9" t="s">
        <v>35</v>
      </c>
      <c r="J147" s="10" t="s">
        <v>35</v>
      </c>
      <c r="K147" s="3">
        <v>4</v>
      </c>
      <c r="L147" s="3"/>
      <c r="M147" s="45"/>
      <c r="N147" s="3" t="s">
        <v>186</v>
      </c>
      <c r="O147" s="3" t="s">
        <v>186</v>
      </c>
      <c r="P147" s="3" t="s">
        <v>187</v>
      </c>
      <c r="Q147" s="3" t="s">
        <v>187</v>
      </c>
      <c r="R147" s="11" t="s">
        <v>195</v>
      </c>
      <c r="S147" s="3" t="s">
        <v>188</v>
      </c>
      <c r="T147" s="12" t="s">
        <v>181</v>
      </c>
      <c r="U147" s="12"/>
      <c r="V147" s="12" t="s">
        <v>222</v>
      </c>
      <c r="W147" s="12" t="s">
        <v>24</v>
      </c>
      <c r="X147" s="8" t="s">
        <v>19</v>
      </c>
      <c r="Y147" s="25" t="s">
        <v>69</v>
      </c>
      <c r="Z147" s="25" t="s">
        <v>183</v>
      </c>
      <c r="AA147" s="341" t="s">
        <v>563</v>
      </c>
      <c r="AB147" s="110" t="s">
        <v>562</v>
      </c>
      <c r="AC147" s="7"/>
      <c r="AD147" s="7"/>
      <c r="AE147" s="7"/>
      <c r="AF147" s="7"/>
      <c r="AG147" s="7">
        <f t="shared" si="150"/>
        <v>0</v>
      </c>
      <c r="AH147" s="33"/>
      <c r="AI147" s="7">
        <f t="shared" si="151"/>
        <v>0</v>
      </c>
      <c r="AJ147" s="409"/>
      <c r="AK147" s="27">
        <v>188726</v>
      </c>
      <c r="AL147" s="36"/>
      <c r="AM147" s="33">
        <f t="shared" si="143"/>
        <v>188726</v>
      </c>
      <c r="AN147" s="36">
        <v>0</v>
      </c>
      <c r="AO147" s="36">
        <v>0</v>
      </c>
      <c r="AP147" s="7">
        <f t="shared" si="132"/>
        <v>0</v>
      </c>
      <c r="AQ147" s="36"/>
      <c r="AR147" s="36"/>
      <c r="AS147" s="7">
        <f t="shared" si="148"/>
        <v>0</v>
      </c>
      <c r="AT147" s="36">
        <v>178585.49</v>
      </c>
      <c r="AU147" s="36"/>
      <c r="AV147" s="7">
        <f t="shared" si="149"/>
        <v>178585.49</v>
      </c>
      <c r="AW147" s="33"/>
      <c r="AX147" s="33"/>
      <c r="AY147" s="7">
        <f t="shared" si="199"/>
        <v>0</v>
      </c>
      <c r="AZ147" s="33"/>
      <c r="BA147" s="33"/>
      <c r="BB147" s="7">
        <f t="shared" si="135"/>
        <v>0</v>
      </c>
      <c r="BC147" s="33"/>
      <c r="BD147" s="33"/>
      <c r="BE147" s="7">
        <f t="shared" si="136"/>
        <v>0</v>
      </c>
      <c r="BF147" s="33"/>
      <c r="BG147" s="33"/>
      <c r="BH147" s="7">
        <f t="shared" si="137"/>
        <v>0</v>
      </c>
      <c r="BI147" s="33"/>
      <c r="BJ147" s="33"/>
      <c r="BK147" s="7">
        <f t="shared" si="138"/>
        <v>0</v>
      </c>
      <c r="BL147" s="33"/>
      <c r="BM147" s="33"/>
      <c r="BN147" s="7">
        <f t="shared" si="139"/>
        <v>0</v>
      </c>
      <c r="BO147" s="33"/>
      <c r="BP147" s="33"/>
      <c r="BQ147" s="7">
        <f t="shared" si="140"/>
        <v>0</v>
      </c>
      <c r="BR147" s="33"/>
      <c r="BS147" s="33"/>
      <c r="BT147" s="7">
        <f t="shared" si="141"/>
        <v>0</v>
      </c>
      <c r="BU147" s="33"/>
      <c r="BV147" s="33"/>
      <c r="BW147" s="7">
        <f t="shared" si="142"/>
        <v>0</v>
      </c>
      <c r="BX147" s="33"/>
      <c r="BY147" s="7">
        <f t="shared" si="109"/>
        <v>178585.49</v>
      </c>
      <c r="BZ147" s="7">
        <f t="shared" si="110"/>
        <v>178585.49</v>
      </c>
      <c r="CA147" s="33"/>
      <c r="CB147" s="7">
        <f t="shared" si="111"/>
        <v>10140.510000000009</v>
      </c>
      <c r="CC147" s="7">
        <f t="shared" si="112"/>
        <v>10140.510000000009</v>
      </c>
      <c r="CD147" s="15">
        <f t="shared" si="113"/>
        <v>0.94626861163803599</v>
      </c>
      <c r="CE147" s="15">
        <f t="shared" si="114"/>
        <v>0.94626861163803599</v>
      </c>
      <c r="CF147" s="450" t="s">
        <v>855</v>
      </c>
      <c r="CG147" s="33"/>
      <c r="CH147" s="33"/>
      <c r="CI147" s="33"/>
      <c r="CJ147" s="33"/>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14"/>
      <c r="DQ147" s="14"/>
      <c r="DR147" s="7"/>
      <c r="DS147" s="7"/>
      <c r="DT147" s="7"/>
      <c r="DU147" s="15"/>
      <c r="DV147" s="15"/>
      <c r="DW147" s="15"/>
      <c r="DX147" s="15"/>
      <c r="DY147" s="7"/>
      <c r="DZ147" s="27"/>
      <c r="EA147" s="109"/>
    </row>
    <row r="148" spans="1:131" s="10" customFormat="1" ht="16.5" thickBot="1" x14ac:dyDescent="0.3">
      <c r="A148" s="41"/>
      <c r="B148" s="29"/>
      <c r="C148" s="41"/>
      <c r="D148" s="29"/>
      <c r="E148" s="16"/>
      <c r="F148" s="355"/>
      <c r="G148" s="355"/>
      <c r="H148" s="355"/>
      <c r="I148" s="55"/>
      <c r="J148" s="56"/>
      <c r="K148" s="57"/>
      <c r="L148" s="57"/>
      <c r="M148" s="57"/>
      <c r="N148" s="57"/>
      <c r="O148" s="57"/>
      <c r="P148" s="57"/>
      <c r="Q148" s="57"/>
      <c r="R148" s="57"/>
      <c r="S148" s="57"/>
      <c r="T148" s="28"/>
      <c r="U148" s="28"/>
      <c r="V148" s="28"/>
      <c r="W148" s="18"/>
      <c r="X148" s="18"/>
      <c r="Y148" s="39"/>
      <c r="Z148" s="30"/>
      <c r="AA148" s="56" t="s">
        <v>86</v>
      </c>
      <c r="AB148" s="28"/>
      <c r="AC148" s="20">
        <f>SUM(AC107:AC145)</f>
        <v>256922400</v>
      </c>
      <c r="AD148" s="20">
        <f>SUM(AD107:AD145)</f>
        <v>0</v>
      </c>
      <c r="AE148" s="20">
        <f>SUM(AE107:AE145)</f>
        <v>102075331.88</v>
      </c>
      <c r="AF148" s="20">
        <f>SUM(AF107:AF145)</f>
        <v>20671000</v>
      </c>
      <c r="AG148" s="7">
        <f t="shared" si="150"/>
        <v>122746331.88</v>
      </c>
      <c r="AH148" s="20">
        <f>SUM(AH104:AH145)</f>
        <v>32584305</v>
      </c>
      <c r="AI148" s="7">
        <f t="shared" si="151"/>
        <v>155330636.88</v>
      </c>
      <c r="AJ148" s="407">
        <f>SUM(AJ104:AJ145)</f>
        <v>0</v>
      </c>
      <c r="AK148" s="20">
        <f>SUM(AK104:AK147)</f>
        <v>665695618</v>
      </c>
      <c r="AL148" s="20">
        <f t="shared" ref="AL148:AM148" si="200">SUM(AL104:AL147)</f>
        <v>8620581</v>
      </c>
      <c r="AM148" s="20">
        <f t="shared" si="200"/>
        <v>674316199</v>
      </c>
      <c r="AN148" s="20">
        <f t="shared" ref="AN148:CA148" si="201">SUM(AN104:AN147)</f>
        <v>-213299.06999999998</v>
      </c>
      <c r="AO148" s="20">
        <f t="shared" si="201"/>
        <v>0</v>
      </c>
      <c r="AP148" s="20">
        <f t="shared" si="201"/>
        <v>-213299.06999999998</v>
      </c>
      <c r="AQ148" s="20">
        <f t="shared" si="201"/>
        <v>24752777.269999996</v>
      </c>
      <c r="AR148" s="20">
        <f t="shared" si="201"/>
        <v>2879522.9</v>
      </c>
      <c r="AS148" s="20">
        <f t="shared" si="201"/>
        <v>27632300.169999998</v>
      </c>
      <c r="AT148" s="20">
        <f t="shared" si="201"/>
        <v>48211032.359999999</v>
      </c>
      <c r="AU148" s="20">
        <f t="shared" si="201"/>
        <v>4221188.7</v>
      </c>
      <c r="AV148" s="20">
        <f t="shared" si="201"/>
        <v>52432221.059999995</v>
      </c>
      <c r="AW148" s="20">
        <f t="shared" si="201"/>
        <v>59094381.440000005</v>
      </c>
      <c r="AX148" s="20">
        <f t="shared" si="201"/>
        <v>5441872.5599999996</v>
      </c>
      <c r="AY148" s="20">
        <f t="shared" si="201"/>
        <v>64536254</v>
      </c>
      <c r="AZ148" s="20">
        <f t="shared" si="201"/>
        <v>0</v>
      </c>
      <c r="BA148" s="20">
        <f t="shared" si="201"/>
        <v>0</v>
      </c>
      <c r="BB148" s="20">
        <f t="shared" si="201"/>
        <v>0</v>
      </c>
      <c r="BC148" s="20">
        <f t="shared" si="201"/>
        <v>0</v>
      </c>
      <c r="BD148" s="20">
        <f t="shared" si="201"/>
        <v>0</v>
      </c>
      <c r="BE148" s="20">
        <f t="shared" si="201"/>
        <v>0</v>
      </c>
      <c r="BF148" s="20">
        <f t="shared" si="201"/>
        <v>0</v>
      </c>
      <c r="BG148" s="20">
        <f t="shared" si="201"/>
        <v>0</v>
      </c>
      <c r="BH148" s="20">
        <f t="shared" si="201"/>
        <v>0</v>
      </c>
      <c r="BI148" s="20">
        <f t="shared" si="201"/>
        <v>0</v>
      </c>
      <c r="BJ148" s="20">
        <f t="shared" si="201"/>
        <v>0</v>
      </c>
      <c r="BK148" s="20">
        <f t="shared" si="201"/>
        <v>0</v>
      </c>
      <c r="BL148" s="20">
        <f t="shared" si="201"/>
        <v>0</v>
      </c>
      <c r="BM148" s="20">
        <f t="shared" si="201"/>
        <v>0</v>
      </c>
      <c r="BN148" s="20">
        <f t="shared" si="201"/>
        <v>0</v>
      </c>
      <c r="BO148" s="20">
        <f t="shared" si="201"/>
        <v>0</v>
      </c>
      <c r="BP148" s="20">
        <f t="shared" si="201"/>
        <v>0</v>
      </c>
      <c r="BQ148" s="20">
        <f t="shared" si="201"/>
        <v>0</v>
      </c>
      <c r="BR148" s="20">
        <f t="shared" si="201"/>
        <v>0</v>
      </c>
      <c r="BS148" s="20">
        <f t="shared" si="201"/>
        <v>0</v>
      </c>
      <c r="BT148" s="20">
        <f t="shared" si="201"/>
        <v>0</v>
      </c>
      <c r="BU148" s="20">
        <f t="shared" si="201"/>
        <v>0</v>
      </c>
      <c r="BV148" s="20">
        <f t="shared" si="201"/>
        <v>0</v>
      </c>
      <c r="BW148" s="20">
        <f t="shared" si="201"/>
        <v>0</v>
      </c>
      <c r="BX148" s="20">
        <f t="shared" si="201"/>
        <v>42675047.740000002</v>
      </c>
      <c r="BY148" s="20">
        <f t="shared" si="109"/>
        <v>131844892</v>
      </c>
      <c r="BZ148" s="20">
        <f t="shared" si="110"/>
        <v>144387476.16</v>
      </c>
      <c r="CA148" s="20">
        <f t="shared" si="201"/>
        <v>0</v>
      </c>
      <c r="CB148" s="20">
        <f t="shared" si="111"/>
        <v>542471307</v>
      </c>
      <c r="CC148" s="20">
        <f t="shared" si="112"/>
        <v>529928722.84000003</v>
      </c>
      <c r="CD148" s="21">
        <f t="shared" si="113"/>
        <v>0.19552383910622914</v>
      </c>
      <c r="CE148" s="21">
        <f t="shared" si="114"/>
        <v>0.21412428824062701</v>
      </c>
      <c r="CF148" s="451"/>
      <c r="CG148" s="20">
        <f>SUM(CG104:CG146)</f>
        <v>1027000000</v>
      </c>
      <c r="CH148" s="20">
        <f>SUM(CH104:CH146)</f>
        <v>895000000</v>
      </c>
      <c r="CI148" s="20">
        <f>SUM(CI104:CI146)</f>
        <v>0</v>
      </c>
      <c r="CJ148" s="20">
        <f>SUM(CJ104:CJ146)</f>
        <v>0</v>
      </c>
      <c r="CK148" s="20">
        <f t="shared" ref="CK148:DT148" si="202">SUM(CK107:CK145)</f>
        <v>0</v>
      </c>
      <c r="CL148" s="20">
        <f t="shared" si="202"/>
        <v>0</v>
      </c>
      <c r="CM148" s="20">
        <f t="shared" si="202"/>
        <v>5827973.169999999</v>
      </c>
      <c r="CN148" s="20">
        <f t="shared" si="202"/>
        <v>6902063.2800000003</v>
      </c>
      <c r="CO148" s="20">
        <f t="shared" si="202"/>
        <v>13804116.130000001</v>
      </c>
      <c r="CP148" s="20">
        <f t="shared" si="202"/>
        <v>1784476.7400000002</v>
      </c>
      <c r="CQ148" s="20">
        <f t="shared" si="202"/>
        <v>15588592.870000001</v>
      </c>
      <c r="CR148" s="20">
        <f t="shared" si="202"/>
        <v>19632089.299999997</v>
      </c>
      <c r="CS148" s="20">
        <f t="shared" si="202"/>
        <v>22490656.150000002</v>
      </c>
      <c r="CT148" s="20">
        <f t="shared" si="202"/>
        <v>13528999.26</v>
      </c>
      <c r="CU148" s="20">
        <f t="shared" si="202"/>
        <v>2080645.33</v>
      </c>
      <c r="CV148" s="20">
        <f t="shared" si="202"/>
        <v>15609644.589999998</v>
      </c>
      <c r="CW148" s="20">
        <f t="shared" si="202"/>
        <v>14379875.139999999</v>
      </c>
      <c r="CX148" s="20">
        <f t="shared" si="202"/>
        <v>1913021.76</v>
      </c>
      <c r="CY148" s="20">
        <f t="shared" si="202"/>
        <v>16292896.899999999</v>
      </c>
      <c r="CZ148" s="20">
        <f t="shared" si="202"/>
        <v>32034197.880000003</v>
      </c>
      <c r="DA148" s="20">
        <f t="shared" si="202"/>
        <v>1817267.5499999998</v>
      </c>
      <c r="DB148" s="20">
        <f t="shared" si="202"/>
        <v>33851465.43</v>
      </c>
      <c r="DC148" s="20">
        <f t="shared" si="202"/>
        <v>0</v>
      </c>
      <c r="DD148" s="20">
        <f t="shared" si="202"/>
        <v>0</v>
      </c>
      <c r="DE148" s="20">
        <f t="shared" si="202"/>
        <v>0</v>
      </c>
      <c r="DF148" s="20">
        <f t="shared" si="202"/>
        <v>0</v>
      </c>
      <c r="DG148" s="20">
        <f t="shared" si="202"/>
        <v>0</v>
      </c>
      <c r="DH148" s="20">
        <f t="shared" si="202"/>
        <v>0</v>
      </c>
      <c r="DI148" s="20">
        <f t="shared" si="202"/>
        <v>0</v>
      </c>
      <c r="DJ148" s="20">
        <f t="shared" si="202"/>
        <v>0</v>
      </c>
      <c r="DK148" s="20">
        <f t="shared" si="202"/>
        <v>0</v>
      </c>
      <c r="DL148" s="20">
        <f t="shared" si="202"/>
        <v>0</v>
      </c>
      <c r="DM148" s="20">
        <f t="shared" si="202"/>
        <v>0</v>
      </c>
      <c r="DN148" s="20">
        <f t="shared" si="202"/>
        <v>0</v>
      </c>
      <c r="DO148" s="20">
        <f t="shared" si="202"/>
        <v>2038718.1</v>
      </c>
      <c r="DP148" s="20">
        <f t="shared" si="202"/>
        <v>79575161.579999998</v>
      </c>
      <c r="DQ148" s="20">
        <f t="shared" si="202"/>
        <v>88244663.069999993</v>
      </c>
      <c r="DR148" s="20">
        <f t="shared" si="202"/>
        <v>625034.64</v>
      </c>
      <c r="DS148" s="20">
        <f t="shared" si="202"/>
        <v>43171170.299999997</v>
      </c>
      <c r="DT148" s="20">
        <f t="shared" si="202"/>
        <v>34501668.810000002</v>
      </c>
      <c r="DU148" s="21">
        <f>DP148/AG148</f>
        <v>0.64828952817746721</v>
      </c>
      <c r="DV148" s="21">
        <f>DQ148/AG148</f>
        <v>0.71891894216659991</v>
      </c>
      <c r="DW148" s="293"/>
      <c r="DX148" s="293"/>
      <c r="DY148" s="20">
        <f>SUM(DY104:DY145)</f>
        <v>0</v>
      </c>
      <c r="DZ148" s="121"/>
      <c r="EA148" s="319"/>
    </row>
    <row r="149" spans="1:131" s="10" customFormat="1" ht="16.5" thickTop="1" x14ac:dyDescent="0.25">
      <c r="A149" s="24"/>
      <c r="B149" s="24"/>
      <c r="C149" s="24"/>
      <c r="D149" s="24"/>
      <c r="E149" s="3"/>
      <c r="F149" s="353"/>
      <c r="G149" s="353"/>
      <c r="H149" s="353"/>
      <c r="I149" s="46"/>
      <c r="J149" s="47"/>
      <c r="K149" s="45"/>
      <c r="L149" s="45"/>
      <c r="M149" s="45"/>
      <c r="N149" s="45"/>
      <c r="O149" s="45"/>
      <c r="P149" s="45"/>
      <c r="Q149" s="45"/>
      <c r="R149" s="45"/>
      <c r="S149" s="45"/>
      <c r="T149" s="12"/>
      <c r="U149" s="12"/>
      <c r="V149" s="12"/>
      <c r="W149" s="58"/>
      <c r="X149" s="48"/>
      <c r="Y149" s="49"/>
      <c r="Z149" s="348"/>
      <c r="AA149" s="341"/>
      <c r="AB149" s="51"/>
      <c r="AC149" s="59"/>
      <c r="AD149" s="60"/>
      <c r="AE149" s="7"/>
      <c r="AF149" s="62"/>
      <c r="AG149" s="7">
        <f t="shared" si="150"/>
        <v>0</v>
      </c>
      <c r="AH149" s="62"/>
      <c r="AI149" s="7">
        <f t="shared" si="151"/>
        <v>0</v>
      </c>
      <c r="AJ149" s="62"/>
      <c r="AK149" s="59"/>
      <c r="AL149" s="73"/>
      <c r="AM149" s="439"/>
      <c r="AN149" s="73"/>
      <c r="AO149" s="60"/>
      <c r="AP149" s="7"/>
      <c r="AQ149" s="60"/>
      <c r="AR149" s="60"/>
      <c r="AS149" s="7"/>
      <c r="AT149" s="60"/>
      <c r="AU149" s="60"/>
      <c r="AV149" s="7"/>
      <c r="AW149" s="7"/>
      <c r="AX149" s="7"/>
      <c r="AY149" s="7"/>
      <c r="AZ149" s="7"/>
      <c r="BA149" s="7"/>
      <c r="BB149" s="7">
        <f t="shared" si="135"/>
        <v>0</v>
      </c>
      <c r="BC149" s="7"/>
      <c r="BD149" s="7"/>
      <c r="BE149" s="7">
        <f t="shared" si="136"/>
        <v>0</v>
      </c>
      <c r="BF149" s="7"/>
      <c r="BG149" s="7"/>
      <c r="BH149" s="7">
        <f t="shared" si="137"/>
        <v>0</v>
      </c>
      <c r="BI149" s="7"/>
      <c r="BJ149" s="7"/>
      <c r="BK149" s="7">
        <f t="shared" si="138"/>
        <v>0</v>
      </c>
      <c r="BL149" s="7"/>
      <c r="BM149" s="7"/>
      <c r="BN149" s="7">
        <f t="shared" si="139"/>
        <v>0</v>
      </c>
      <c r="BO149" s="7"/>
      <c r="BP149" s="7"/>
      <c r="BQ149" s="7">
        <f t="shared" si="140"/>
        <v>0</v>
      </c>
      <c r="BR149" s="7"/>
      <c r="BS149" s="7"/>
      <c r="BT149" s="7">
        <f t="shared" si="141"/>
        <v>0</v>
      </c>
      <c r="BU149" s="7"/>
      <c r="BV149" s="7"/>
      <c r="BW149" s="7">
        <f t="shared" si="142"/>
        <v>0</v>
      </c>
      <c r="BX149" s="7"/>
      <c r="BY149" s="7"/>
      <c r="BZ149" s="7"/>
      <c r="CA149" s="7"/>
      <c r="CB149" s="7"/>
      <c r="CC149" s="7"/>
      <c r="CD149" s="15"/>
      <c r="CE149" s="15"/>
      <c r="CF149" s="451"/>
      <c r="CG149" s="59"/>
      <c r="CH149" s="62"/>
      <c r="CI149" s="62"/>
      <c r="CJ149" s="62"/>
      <c r="CK149" s="60"/>
      <c r="CL149" s="7"/>
      <c r="CM149" s="60"/>
      <c r="CN149" s="7"/>
      <c r="CO149" s="60"/>
      <c r="CP149" s="60"/>
      <c r="CQ149" s="7"/>
      <c r="CR149" s="7"/>
      <c r="CS149" s="7"/>
      <c r="CT149" s="60"/>
      <c r="CU149" s="60"/>
      <c r="CV149" s="7"/>
      <c r="CW149" s="60"/>
      <c r="CX149" s="60"/>
      <c r="CY149" s="7"/>
      <c r="CZ149" s="60"/>
      <c r="DA149" s="60"/>
      <c r="DB149" s="7"/>
      <c r="DC149" s="60"/>
      <c r="DD149" s="7">
        <f>DC149</f>
        <v>0</v>
      </c>
      <c r="DE149" s="60"/>
      <c r="DF149" s="7">
        <f>DE149</f>
        <v>0</v>
      </c>
      <c r="DG149" s="60"/>
      <c r="DH149" s="7">
        <f>DG149</f>
        <v>0</v>
      </c>
      <c r="DI149" s="60"/>
      <c r="DJ149" s="7">
        <f>DI149</f>
        <v>0</v>
      </c>
      <c r="DK149" s="60"/>
      <c r="DL149" s="7">
        <f>DK149</f>
        <v>0</v>
      </c>
      <c r="DM149" s="60"/>
      <c r="DN149" s="7">
        <f>DM149</f>
        <v>0</v>
      </c>
      <c r="DO149" s="60"/>
      <c r="DP149" s="14"/>
      <c r="DQ149" s="14"/>
      <c r="DR149" s="7"/>
      <c r="DS149" s="7"/>
      <c r="DT149" s="7"/>
      <c r="DU149" s="15"/>
      <c r="DV149" s="15"/>
      <c r="DW149" s="294"/>
      <c r="DX149" s="294"/>
      <c r="DY149" s="62"/>
      <c r="DZ149" s="60"/>
      <c r="EA149" s="319"/>
    </row>
    <row r="150" spans="1:131" s="10" customFormat="1" x14ac:dyDescent="0.25">
      <c r="A150" s="44" t="s">
        <v>40</v>
      </c>
      <c r="B150" s="43"/>
      <c r="C150" s="44"/>
      <c r="D150" s="43"/>
      <c r="E150" s="3"/>
      <c r="F150" s="353"/>
      <c r="G150" s="353"/>
      <c r="H150" s="353"/>
      <c r="I150" s="46"/>
      <c r="J150" s="47"/>
      <c r="K150" s="45"/>
      <c r="L150" s="45"/>
      <c r="M150" s="45"/>
      <c r="N150" s="45"/>
      <c r="O150" s="45"/>
      <c r="P150" s="45"/>
      <c r="Q150" s="45"/>
      <c r="R150" s="45"/>
      <c r="S150" s="45"/>
      <c r="T150" s="12"/>
      <c r="U150" s="12"/>
      <c r="V150" s="12"/>
      <c r="W150" s="48"/>
      <c r="X150" s="48"/>
      <c r="Y150" s="49"/>
      <c r="Z150" s="348"/>
      <c r="AA150" s="342" t="s">
        <v>40</v>
      </c>
      <c r="AB150" s="51"/>
      <c r="AC150" s="59"/>
      <c r="AD150" s="60"/>
      <c r="AE150" s="7"/>
      <c r="AF150" s="62"/>
      <c r="AG150" s="7">
        <f t="shared" si="150"/>
        <v>0</v>
      </c>
      <c r="AH150" s="62"/>
      <c r="AI150" s="7">
        <f t="shared" si="151"/>
        <v>0</v>
      </c>
      <c r="AJ150" s="62"/>
      <c r="AK150" s="59"/>
      <c r="AL150" s="73"/>
      <c r="AM150" s="7"/>
      <c r="AN150" s="73"/>
      <c r="AO150" s="60"/>
      <c r="AP150" s="7"/>
      <c r="AQ150" s="60"/>
      <c r="AR150" s="60"/>
      <c r="AS150" s="7"/>
      <c r="AT150" s="60"/>
      <c r="AU150" s="60"/>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15"/>
      <c r="CE150" s="15"/>
      <c r="CF150" s="451"/>
      <c r="CG150" s="59"/>
      <c r="CH150" s="62"/>
      <c r="CI150" s="62"/>
      <c r="CJ150" s="62"/>
      <c r="CK150" s="60"/>
      <c r="CL150" s="7"/>
      <c r="CM150" s="60"/>
      <c r="CN150" s="7"/>
      <c r="CO150" s="60"/>
      <c r="CP150" s="60"/>
      <c r="CQ150" s="7"/>
      <c r="CR150" s="7"/>
      <c r="CS150" s="7"/>
      <c r="CT150" s="60"/>
      <c r="CU150" s="60"/>
      <c r="CV150" s="7"/>
      <c r="CW150" s="60"/>
      <c r="CX150" s="60"/>
      <c r="CY150" s="7"/>
      <c r="CZ150" s="60"/>
      <c r="DA150" s="60"/>
      <c r="DB150" s="7"/>
      <c r="DC150" s="60"/>
      <c r="DD150" s="7">
        <f>DC150</f>
        <v>0</v>
      </c>
      <c r="DE150" s="60"/>
      <c r="DF150" s="7">
        <f>DE150</f>
        <v>0</v>
      </c>
      <c r="DG150" s="60"/>
      <c r="DH150" s="7">
        <f>DG150</f>
        <v>0</v>
      </c>
      <c r="DI150" s="60"/>
      <c r="DJ150" s="7">
        <f>DI150</f>
        <v>0</v>
      </c>
      <c r="DK150" s="60"/>
      <c r="DL150" s="7">
        <f>DK150</f>
        <v>0</v>
      </c>
      <c r="DM150" s="60"/>
      <c r="DN150" s="7">
        <f>DM150</f>
        <v>0</v>
      </c>
      <c r="DO150" s="60"/>
      <c r="DP150" s="14"/>
      <c r="DQ150" s="14"/>
      <c r="DR150" s="7"/>
      <c r="DS150" s="7"/>
      <c r="DT150" s="7"/>
      <c r="DU150" s="15"/>
      <c r="DV150" s="15"/>
      <c r="DW150" s="294"/>
      <c r="DX150" s="294"/>
      <c r="DY150" s="62"/>
      <c r="DZ150" s="60"/>
      <c r="EA150" s="319"/>
    </row>
    <row r="151" spans="1:131" s="10" customFormat="1" x14ac:dyDescent="0.25">
      <c r="A151" s="61" t="s">
        <v>9</v>
      </c>
      <c r="B151" s="24" t="s">
        <v>498</v>
      </c>
      <c r="C151" s="61" t="s">
        <v>650</v>
      </c>
      <c r="D151" s="24"/>
      <c r="E151" s="3">
        <v>605005</v>
      </c>
      <c r="F151" s="353">
        <v>4</v>
      </c>
      <c r="G151" s="359" t="s">
        <v>187</v>
      </c>
      <c r="H151" s="353">
        <v>1526</v>
      </c>
      <c r="I151" s="9" t="s">
        <v>42</v>
      </c>
      <c r="J151" s="10" t="s">
        <v>33</v>
      </c>
      <c r="K151" s="3">
        <v>4</v>
      </c>
      <c r="L151" s="11" t="s">
        <v>187</v>
      </c>
      <c r="M151" s="45"/>
      <c r="N151" s="11" t="s">
        <v>186</v>
      </c>
      <c r="O151" s="350" t="s">
        <v>191</v>
      </c>
      <c r="P151" s="3" t="s">
        <v>187</v>
      </c>
      <c r="Q151" s="3" t="s">
        <v>187</v>
      </c>
      <c r="R151" s="3">
        <v>270</v>
      </c>
      <c r="S151" s="3" t="s">
        <v>188</v>
      </c>
      <c r="T151" s="12" t="s">
        <v>26</v>
      </c>
      <c r="U151" s="12" t="s">
        <v>222</v>
      </c>
      <c r="V151" s="12"/>
      <c r="W151" s="48"/>
      <c r="X151" s="48"/>
      <c r="Y151" s="25" t="s">
        <v>69</v>
      </c>
      <c r="Z151" s="348" t="s">
        <v>92</v>
      </c>
      <c r="AA151" s="9" t="s">
        <v>293</v>
      </c>
      <c r="AB151" s="12" t="s">
        <v>8</v>
      </c>
      <c r="AC151" s="59"/>
      <c r="AD151" s="60"/>
      <c r="AE151" s="7"/>
      <c r="AF151" s="62"/>
      <c r="AG151" s="7">
        <f t="shared" si="150"/>
        <v>0</v>
      </c>
      <c r="AH151" s="62"/>
      <c r="AI151" s="7">
        <f t="shared" si="151"/>
        <v>0</v>
      </c>
      <c r="AJ151" s="62"/>
      <c r="AK151" s="27">
        <v>500000</v>
      </c>
      <c r="AL151" s="319"/>
      <c r="AM151" s="7">
        <f t="shared" si="143"/>
        <v>500000</v>
      </c>
      <c r="AN151" s="319">
        <v>0</v>
      </c>
      <c r="AO151" s="334">
        <v>0</v>
      </c>
      <c r="AP151" s="7">
        <f t="shared" si="132"/>
        <v>0</v>
      </c>
      <c r="AQ151" s="334"/>
      <c r="AR151" s="334"/>
      <c r="AS151" s="7">
        <f t="shared" si="148"/>
        <v>0</v>
      </c>
      <c r="AT151" s="334"/>
      <c r="AU151" s="334"/>
      <c r="AV151" s="7">
        <f t="shared" si="149"/>
        <v>0</v>
      </c>
      <c r="AW151" s="7">
        <v>5100</v>
      </c>
      <c r="AX151" s="7"/>
      <c r="AY151" s="7">
        <f t="shared" si="199"/>
        <v>5100</v>
      </c>
      <c r="AZ151" s="7"/>
      <c r="BA151" s="7"/>
      <c r="BB151" s="7">
        <f t="shared" si="135"/>
        <v>0</v>
      </c>
      <c r="BC151" s="7"/>
      <c r="BD151" s="7"/>
      <c r="BE151" s="7">
        <f t="shared" si="136"/>
        <v>0</v>
      </c>
      <c r="BF151" s="7"/>
      <c r="BG151" s="7"/>
      <c r="BH151" s="7">
        <f t="shared" si="137"/>
        <v>0</v>
      </c>
      <c r="BI151" s="7"/>
      <c r="BJ151" s="7"/>
      <c r="BK151" s="7">
        <f t="shared" si="138"/>
        <v>0</v>
      </c>
      <c r="BL151" s="7"/>
      <c r="BM151" s="7"/>
      <c r="BN151" s="7">
        <f t="shared" si="139"/>
        <v>0</v>
      </c>
      <c r="BO151" s="7"/>
      <c r="BP151" s="7"/>
      <c r="BQ151" s="7">
        <f t="shared" si="140"/>
        <v>0</v>
      </c>
      <c r="BR151" s="7"/>
      <c r="BS151" s="7"/>
      <c r="BT151" s="7">
        <f t="shared" si="141"/>
        <v>0</v>
      </c>
      <c r="BU151" s="7"/>
      <c r="BV151" s="7"/>
      <c r="BW151" s="7">
        <f t="shared" si="142"/>
        <v>0</v>
      </c>
      <c r="BX151" s="7">
        <v>29287.69</v>
      </c>
      <c r="BY151" s="7">
        <f t="shared" si="109"/>
        <v>5100</v>
      </c>
      <c r="BZ151" s="7">
        <f t="shared" si="110"/>
        <v>5100</v>
      </c>
      <c r="CA151" s="7"/>
      <c r="CB151" s="7">
        <f t="shared" si="111"/>
        <v>494900</v>
      </c>
      <c r="CC151" s="7">
        <f t="shared" si="112"/>
        <v>494900</v>
      </c>
      <c r="CD151" s="15">
        <f t="shared" si="113"/>
        <v>1.0200000000000001E-2</v>
      </c>
      <c r="CE151" s="15">
        <f t="shared" si="114"/>
        <v>1.0200000000000001E-2</v>
      </c>
      <c r="CF151" s="451" t="s">
        <v>885</v>
      </c>
      <c r="CG151" s="27">
        <v>500000</v>
      </c>
      <c r="CH151" s="62">
        <v>500000</v>
      </c>
      <c r="CI151" s="62"/>
      <c r="CJ151" s="62"/>
      <c r="CK151" s="60"/>
      <c r="CL151" s="7"/>
      <c r="CM151" s="60"/>
      <c r="CN151" s="7"/>
      <c r="CO151" s="60"/>
      <c r="CP151" s="60"/>
      <c r="CQ151" s="7"/>
      <c r="CR151" s="7"/>
      <c r="CS151" s="7"/>
      <c r="CT151" s="60"/>
      <c r="CU151" s="60"/>
      <c r="CV151" s="7"/>
      <c r="CW151" s="60"/>
      <c r="CX151" s="60"/>
      <c r="CY151" s="7"/>
      <c r="CZ151" s="60"/>
      <c r="DA151" s="60"/>
      <c r="DB151" s="7"/>
      <c r="DC151" s="60"/>
      <c r="DD151" s="7"/>
      <c r="DE151" s="60"/>
      <c r="DF151" s="7"/>
      <c r="DG151" s="60"/>
      <c r="DH151" s="7"/>
      <c r="DI151" s="60"/>
      <c r="DJ151" s="7"/>
      <c r="DK151" s="60"/>
      <c r="DL151" s="7"/>
      <c r="DM151" s="60"/>
      <c r="DN151" s="7"/>
      <c r="DO151" s="60"/>
      <c r="DP151" s="14"/>
      <c r="DQ151" s="14"/>
      <c r="DR151" s="7"/>
      <c r="DS151" s="7"/>
      <c r="DT151" s="7"/>
      <c r="DU151" s="15"/>
      <c r="DV151" s="15"/>
      <c r="DW151" s="294"/>
      <c r="DX151" s="294"/>
      <c r="DY151" s="62"/>
      <c r="DZ151" s="60"/>
      <c r="EA151" s="319"/>
    </row>
    <row r="152" spans="1:131" s="10" customFormat="1" x14ac:dyDescent="0.25">
      <c r="A152" s="61" t="s">
        <v>9</v>
      </c>
      <c r="B152" s="24"/>
      <c r="C152" s="61" t="s">
        <v>762</v>
      </c>
      <c r="D152" s="24"/>
      <c r="E152" s="3">
        <v>615070</v>
      </c>
      <c r="F152" s="353">
        <v>6</v>
      </c>
      <c r="G152" s="359" t="s">
        <v>187</v>
      </c>
      <c r="H152" s="353">
        <v>1514</v>
      </c>
      <c r="I152" s="9" t="s">
        <v>42</v>
      </c>
      <c r="J152" s="10" t="s">
        <v>33</v>
      </c>
      <c r="K152" s="3"/>
      <c r="L152" s="11"/>
      <c r="M152" s="45"/>
      <c r="N152" s="3" t="s">
        <v>186</v>
      </c>
      <c r="O152" s="11" t="s">
        <v>191</v>
      </c>
      <c r="P152" s="3" t="s">
        <v>187</v>
      </c>
      <c r="Q152" s="3" t="s">
        <v>187</v>
      </c>
      <c r="R152" s="3">
        <v>312</v>
      </c>
      <c r="S152" s="11" t="s">
        <v>259</v>
      </c>
      <c r="T152" s="12" t="s">
        <v>78</v>
      </c>
      <c r="U152" s="12"/>
      <c r="V152" s="12" t="s">
        <v>222</v>
      </c>
      <c r="W152" s="12" t="s">
        <v>5</v>
      </c>
      <c r="X152" s="8" t="s">
        <v>52</v>
      </c>
      <c r="Y152" s="25" t="s">
        <v>69</v>
      </c>
      <c r="Z152" s="348" t="s">
        <v>92</v>
      </c>
      <c r="AA152" s="10" t="s">
        <v>716</v>
      </c>
      <c r="AB152" s="12" t="s">
        <v>697</v>
      </c>
      <c r="AC152" s="59"/>
      <c r="AD152" s="60"/>
      <c r="AE152" s="7"/>
      <c r="AF152" s="62"/>
      <c r="AG152" s="7"/>
      <c r="AH152" s="62"/>
      <c r="AI152" s="7"/>
      <c r="AJ152" s="62"/>
      <c r="AK152" s="27"/>
      <c r="AL152" s="319">
        <v>5395309</v>
      </c>
      <c r="AM152" s="7">
        <f t="shared" si="143"/>
        <v>5395309</v>
      </c>
      <c r="AN152" s="319"/>
      <c r="AO152" s="334"/>
      <c r="AP152" s="7">
        <f t="shared" si="132"/>
        <v>0</v>
      </c>
      <c r="AQ152" s="334"/>
      <c r="AR152" s="334"/>
      <c r="AS152" s="7">
        <f t="shared" si="148"/>
        <v>0</v>
      </c>
      <c r="AT152" s="334">
        <v>1609065.89</v>
      </c>
      <c r="AU152" s="334"/>
      <c r="AV152" s="7">
        <f t="shared" si="149"/>
        <v>1609065.89</v>
      </c>
      <c r="AW152" s="7">
        <v>478955.34</v>
      </c>
      <c r="AX152" s="7"/>
      <c r="AY152" s="7">
        <f t="shared" si="199"/>
        <v>478955.34</v>
      </c>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v>3249208.57</v>
      </c>
      <c r="BY152" s="7">
        <f t="shared" si="109"/>
        <v>2088021.23</v>
      </c>
      <c r="BZ152" s="7">
        <f t="shared" si="110"/>
        <v>2088021.23</v>
      </c>
      <c r="CA152" s="7"/>
      <c r="CB152" s="7">
        <f t="shared" si="111"/>
        <v>3307287.77</v>
      </c>
      <c r="CC152" s="7">
        <f t="shared" si="112"/>
        <v>3307287.77</v>
      </c>
      <c r="CD152" s="15">
        <f t="shared" si="113"/>
        <v>0.38700679238204894</v>
      </c>
      <c r="CE152" s="15">
        <f t="shared" si="114"/>
        <v>0.38700679238204894</v>
      </c>
      <c r="CF152" s="451" t="s">
        <v>785</v>
      </c>
      <c r="CG152" s="27"/>
      <c r="CH152" s="62"/>
      <c r="CI152" s="62"/>
      <c r="CJ152" s="62"/>
      <c r="CK152" s="60"/>
      <c r="CL152" s="7"/>
      <c r="CM152" s="60"/>
      <c r="CN152" s="7"/>
      <c r="CO152" s="60"/>
      <c r="CP152" s="60"/>
      <c r="CQ152" s="7"/>
      <c r="CR152" s="7"/>
      <c r="CS152" s="7"/>
      <c r="CT152" s="60"/>
      <c r="CU152" s="60"/>
      <c r="CV152" s="7"/>
      <c r="CW152" s="60"/>
      <c r="CX152" s="60"/>
      <c r="CY152" s="7"/>
      <c r="CZ152" s="60"/>
      <c r="DA152" s="60"/>
      <c r="DB152" s="7"/>
      <c r="DC152" s="60"/>
      <c r="DD152" s="7"/>
      <c r="DE152" s="60"/>
      <c r="DF152" s="7"/>
      <c r="DG152" s="60"/>
      <c r="DH152" s="7"/>
      <c r="DI152" s="60"/>
      <c r="DJ152" s="7"/>
      <c r="DK152" s="60"/>
      <c r="DL152" s="7"/>
      <c r="DM152" s="60"/>
      <c r="DN152" s="7"/>
      <c r="DO152" s="60"/>
      <c r="DP152" s="14"/>
      <c r="DQ152" s="14"/>
      <c r="DR152" s="7"/>
      <c r="DS152" s="7"/>
      <c r="DT152" s="7"/>
      <c r="DU152" s="15"/>
      <c r="DV152" s="15"/>
      <c r="DW152" s="294"/>
      <c r="DX152" s="294"/>
      <c r="DY152" s="62"/>
      <c r="DZ152" s="60"/>
      <c r="EA152" s="319"/>
    </row>
    <row r="153" spans="1:131" s="10" customFormat="1" ht="30.75" x14ac:dyDescent="0.25">
      <c r="A153" s="61" t="s">
        <v>9</v>
      </c>
      <c r="B153" s="24" t="s">
        <v>103</v>
      </c>
      <c r="C153" s="61" t="s">
        <v>235</v>
      </c>
      <c r="D153" s="24" t="s">
        <v>283</v>
      </c>
      <c r="E153" s="3">
        <v>615075</v>
      </c>
      <c r="F153" s="353">
        <v>4</v>
      </c>
      <c r="G153" s="353">
        <v>36</v>
      </c>
      <c r="H153" s="353">
        <v>1534</v>
      </c>
      <c r="I153" s="9" t="s">
        <v>42</v>
      </c>
      <c r="J153" s="10" t="s">
        <v>33</v>
      </c>
      <c r="K153" s="3">
        <v>4</v>
      </c>
      <c r="L153" s="3">
        <v>36</v>
      </c>
      <c r="M153" s="45"/>
      <c r="N153" s="3" t="s">
        <v>186</v>
      </c>
      <c r="O153" s="11" t="s">
        <v>191</v>
      </c>
      <c r="P153" s="3" t="s">
        <v>187</v>
      </c>
      <c r="Q153" s="3" t="s">
        <v>187</v>
      </c>
      <c r="R153" s="3">
        <v>312</v>
      </c>
      <c r="S153" s="3" t="s">
        <v>188</v>
      </c>
      <c r="T153" s="12" t="s">
        <v>78</v>
      </c>
      <c r="U153" s="12"/>
      <c r="V153" s="12" t="s">
        <v>222</v>
      </c>
      <c r="W153" s="12" t="s">
        <v>5</v>
      </c>
      <c r="X153" s="8" t="s">
        <v>52</v>
      </c>
      <c r="Y153" s="25" t="s">
        <v>69</v>
      </c>
      <c r="Z153" s="25" t="s">
        <v>92</v>
      </c>
      <c r="AA153" s="10" t="s">
        <v>116</v>
      </c>
      <c r="AB153" s="110" t="s">
        <v>37</v>
      </c>
      <c r="AC153" s="7">
        <v>2800000</v>
      </c>
      <c r="AD153" s="7"/>
      <c r="AE153" s="7">
        <f>AC153+AD153</f>
        <v>2800000</v>
      </c>
      <c r="AF153" s="7">
        <v>-2800000</v>
      </c>
      <c r="AG153" s="7">
        <f t="shared" si="150"/>
        <v>0</v>
      </c>
      <c r="AH153" s="7"/>
      <c r="AI153" s="7">
        <f t="shared" si="151"/>
        <v>0</v>
      </c>
      <c r="AJ153" s="62"/>
      <c r="AK153" s="7">
        <f>2200000+2800000</f>
        <v>5000000</v>
      </c>
      <c r="AL153" s="409"/>
      <c r="AM153" s="7">
        <f t="shared" si="143"/>
        <v>5000000</v>
      </c>
      <c r="AN153" s="33">
        <v>0</v>
      </c>
      <c r="AO153" s="7">
        <v>0</v>
      </c>
      <c r="AP153" s="7">
        <f t="shared" si="132"/>
        <v>0</v>
      </c>
      <c r="AQ153" s="7"/>
      <c r="AR153" s="7"/>
      <c r="AS153" s="7">
        <f t="shared" si="148"/>
        <v>0</v>
      </c>
      <c r="AT153" s="7"/>
      <c r="AU153" s="7"/>
      <c r="AV153" s="7">
        <f t="shared" si="149"/>
        <v>0</v>
      </c>
      <c r="AW153" s="7"/>
      <c r="AX153" s="7"/>
      <c r="AY153" s="7">
        <f t="shared" si="199"/>
        <v>0</v>
      </c>
      <c r="AZ153" s="7"/>
      <c r="BA153" s="7"/>
      <c r="BB153" s="7">
        <f t="shared" si="135"/>
        <v>0</v>
      </c>
      <c r="BC153" s="7"/>
      <c r="BD153" s="7"/>
      <c r="BE153" s="7">
        <f t="shared" si="136"/>
        <v>0</v>
      </c>
      <c r="BF153" s="7"/>
      <c r="BG153" s="7"/>
      <c r="BH153" s="7">
        <f t="shared" si="137"/>
        <v>0</v>
      </c>
      <c r="BI153" s="7"/>
      <c r="BJ153" s="7"/>
      <c r="BK153" s="7">
        <f t="shared" si="138"/>
        <v>0</v>
      </c>
      <c r="BL153" s="7"/>
      <c r="BM153" s="7"/>
      <c r="BN153" s="7">
        <f t="shared" si="139"/>
        <v>0</v>
      </c>
      <c r="BO153" s="7"/>
      <c r="BP153" s="7"/>
      <c r="BQ153" s="7">
        <f t="shared" si="140"/>
        <v>0</v>
      </c>
      <c r="BR153" s="7"/>
      <c r="BS153" s="7"/>
      <c r="BT153" s="7">
        <f t="shared" si="141"/>
        <v>0</v>
      </c>
      <c r="BU153" s="7"/>
      <c r="BV153" s="7"/>
      <c r="BW153" s="7">
        <f t="shared" si="142"/>
        <v>0</v>
      </c>
      <c r="BX153" s="7">
        <v>797099.25</v>
      </c>
      <c r="BY153" s="7">
        <f t="shared" si="109"/>
        <v>0</v>
      </c>
      <c r="BZ153" s="7">
        <f t="shared" si="110"/>
        <v>0</v>
      </c>
      <c r="CA153" s="7"/>
      <c r="CB153" s="7">
        <f t="shared" si="111"/>
        <v>5000000</v>
      </c>
      <c r="CC153" s="7">
        <f t="shared" si="112"/>
        <v>5000000</v>
      </c>
      <c r="CD153" s="15">
        <f t="shared" si="113"/>
        <v>0</v>
      </c>
      <c r="CE153" s="15">
        <f t="shared" si="114"/>
        <v>0</v>
      </c>
      <c r="CF153" s="451" t="s">
        <v>786</v>
      </c>
      <c r="CG153" s="7">
        <v>0</v>
      </c>
      <c r="CH153" s="7">
        <v>0</v>
      </c>
      <c r="CI153" s="7"/>
      <c r="CJ153" s="7"/>
      <c r="CK153" s="7"/>
      <c r="CL153" s="7">
        <f>CK153</f>
        <v>0</v>
      </c>
      <c r="CM153" s="7"/>
      <c r="CN153" s="7">
        <f>CM153</f>
        <v>0</v>
      </c>
      <c r="CO153" s="7"/>
      <c r="CP153" s="7">
        <v>0</v>
      </c>
      <c r="CQ153" s="7">
        <f>CO153+CP153</f>
        <v>0</v>
      </c>
      <c r="CR153" s="7">
        <f>CK153+CM153+CO153</f>
        <v>0</v>
      </c>
      <c r="CS153" s="7">
        <f>CL153+CN153+CQ153</f>
        <v>0</v>
      </c>
      <c r="CT153" s="7"/>
      <c r="CU153" s="7"/>
      <c r="CV153" s="7">
        <f t="shared" si="198"/>
        <v>0</v>
      </c>
      <c r="CW153" s="7"/>
      <c r="CX153" s="7"/>
      <c r="CY153" s="7">
        <f>CW153+CX153</f>
        <v>0</v>
      </c>
      <c r="CZ153" s="7"/>
      <c r="DA153" s="7"/>
      <c r="DB153" s="7">
        <f>CZ153+DA153</f>
        <v>0</v>
      </c>
      <c r="DC153" s="7"/>
      <c r="DD153" s="7">
        <f>DC153</f>
        <v>0</v>
      </c>
      <c r="DE153" s="7"/>
      <c r="DF153" s="7">
        <f>DE153</f>
        <v>0</v>
      </c>
      <c r="DG153" s="7"/>
      <c r="DH153" s="7">
        <f>DG153</f>
        <v>0</v>
      </c>
      <c r="DI153" s="7"/>
      <c r="DJ153" s="7">
        <f>DI153</f>
        <v>0</v>
      </c>
      <c r="DK153" s="7"/>
      <c r="DL153" s="7">
        <f>DK153</f>
        <v>0</v>
      </c>
      <c r="DM153" s="7"/>
      <c r="DN153" s="7">
        <f>DM153</f>
        <v>0</v>
      </c>
      <c r="DO153" s="7"/>
      <c r="DP153" s="14">
        <f>CK153+CM153+CO153+CT153+CW153+CZ153+DC153+DE153+DG153+DI153+DK153+DM153</f>
        <v>0</v>
      </c>
      <c r="DQ153" s="14">
        <f>CL153+CN153+CQ153+CV153+CY153+DB153</f>
        <v>0</v>
      </c>
      <c r="DR153" s="7">
        <v>0</v>
      </c>
      <c r="DS153" s="7">
        <f>AG153-DP153</f>
        <v>0</v>
      </c>
      <c r="DT153" s="7">
        <f>AG153-DQ153</f>
        <v>0</v>
      </c>
      <c r="DU153" s="15" t="e">
        <f>DP153/AG153</f>
        <v>#DIV/0!</v>
      </c>
      <c r="DV153" s="15">
        <v>0</v>
      </c>
      <c r="DW153" s="7"/>
      <c r="DX153" s="7"/>
      <c r="DY153" s="7"/>
      <c r="DZ153" s="12"/>
      <c r="EA153" s="319"/>
    </row>
    <row r="154" spans="1:131" s="10" customFormat="1" ht="30.75" x14ac:dyDescent="0.25">
      <c r="A154" s="61" t="s">
        <v>9</v>
      </c>
      <c r="B154" s="24"/>
      <c r="C154" s="61" t="s">
        <v>235</v>
      </c>
      <c r="D154" s="24"/>
      <c r="E154" s="3">
        <v>615075</v>
      </c>
      <c r="F154" s="353">
        <v>6</v>
      </c>
      <c r="G154" s="359" t="s">
        <v>187</v>
      </c>
      <c r="H154" s="353">
        <v>1515</v>
      </c>
      <c r="I154" s="9" t="s">
        <v>42</v>
      </c>
      <c r="J154" s="10" t="s">
        <v>33</v>
      </c>
      <c r="K154" s="3"/>
      <c r="L154" s="3"/>
      <c r="M154" s="45"/>
      <c r="N154" s="3" t="s">
        <v>186</v>
      </c>
      <c r="O154" s="11" t="s">
        <v>191</v>
      </c>
      <c r="P154" s="3" t="s">
        <v>187</v>
      </c>
      <c r="Q154" s="3" t="s">
        <v>187</v>
      </c>
      <c r="R154" s="3">
        <v>312</v>
      </c>
      <c r="S154" s="11" t="s">
        <v>259</v>
      </c>
      <c r="T154" s="12" t="s">
        <v>78</v>
      </c>
      <c r="U154" s="12"/>
      <c r="V154" s="12" t="s">
        <v>222</v>
      </c>
      <c r="W154" s="12" t="s">
        <v>5</v>
      </c>
      <c r="X154" s="8" t="s">
        <v>52</v>
      </c>
      <c r="Y154" s="25" t="s">
        <v>69</v>
      </c>
      <c r="Z154" s="25" t="s">
        <v>92</v>
      </c>
      <c r="AA154" s="10" t="s">
        <v>116</v>
      </c>
      <c r="AB154" s="12" t="s">
        <v>697</v>
      </c>
      <c r="AC154" s="7"/>
      <c r="AD154" s="62"/>
      <c r="AE154" s="7"/>
      <c r="AF154" s="62"/>
      <c r="AG154" s="7"/>
      <c r="AH154" s="62"/>
      <c r="AI154" s="7"/>
      <c r="AJ154" s="62"/>
      <c r="AK154" s="7"/>
      <c r="AL154" s="409">
        <v>477792</v>
      </c>
      <c r="AM154" s="7">
        <f t="shared" si="143"/>
        <v>477792</v>
      </c>
      <c r="AN154" s="409"/>
      <c r="AO154" s="62"/>
      <c r="AP154" s="7">
        <f t="shared" si="132"/>
        <v>0</v>
      </c>
      <c r="AQ154" s="62"/>
      <c r="AR154" s="62"/>
      <c r="AS154" s="7">
        <f t="shared" si="148"/>
        <v>0</v>
      </c>
      <c r="AT154" s="62"/>
      <c r="AU154" s="62"/>
      <c r="AV154" s="7">
        <f t="shared" si="149"/>
        <v>0</v>
      </c>
      <c r="AW154" s="7"/>
      <c r="AX154" s="7"/>
      <c r="AY154" s="7">
        <f t="shared" si="199"/>
        <v>0</v>
      </c>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f t="shared" si="109"/>
        <v>0</v>
      </c>
      <c r="BZ154" s="7">
        <f t="shared" si="110"/>
        <v>0</v>
      </c>
      <c r="CA154" s="7"/>
      <c r="CB154" s="7">
        <f t="shared" si="111"/>
        <v>477792</v>
      </c>
      <c r="CC154" s="7">
        <f t="shared" si="112"/>
        <v>477792</v>
      </c>
      <c r="CD154" s="15">
        <f t="shared" si="113"/>
        <v>0</v>
      </c>
      <c r="CE154" s="15">
        <f t="shared" si="114"/>
        <v>0</v>
      </c>
      <c r="CF154" s="451" t="s">
        <v>786</v>
      </c>
      <c r="CG154" s="7"/>
      <c r="CH154" s="62"/>
      <c r="CI154" s="62"/>
      <c r="CJ154" s="62"/>
      <c r="CK154" s="62"/>
      <c r="CL154" s="7"/>
      <c r="CM154" s="62"/>
      <c r="CN154" s="7"/>
      <c r="CO154" s="62"/>
      <c r="CP154" s="62"/>
      <c r="CQ154" s="7"/>
      <c r="CR154" s="7"/>
      <c r="CS154" s="7"/>
      <c r="CT154" s="62"/>
      <c r="CU154" s="62"/>
      <c r="CV154" s="7"/>
      <c r="CW154" s="62"/>
      <c r="CX154" s="62"/>
      <c r="CY154" s="7"/>
      <c r="CZ154" s="62"/>
      <c r="DA154" s="62"/>
      <c r="DB154" s="7"/>
      <c r="DC154" s="62"/>
      <c r="DD154" s="7"/>
      <c r="DE154" s="62"/>
      <c r="DF154" s="7"/>
      <c r="DG154" s="62"/>
      <c r="DH154" s="7"/>
      <c r="DI154" s="62"/>
      <c r="DJ154" s="7"/>
      <c r="DK154" s="62"/>
      <c r="DL154" s="7"/>
      <c r="DM154" s="62"/>
      <c r="DN154" s="7"/>
      <c r="DO154" s="62"/>
      <c r="DP154" s="14"/>
      <c r="DQ154" s="14"/>
      <c r="DR154" s="7"/>
      <c r="DS154" s="7"/>
      <c r="DT154" s="7"/>
      <c r="DU154" s="15"/>
      <c r="DV154" s="15"/>
      <c r="DW154" s="7"/>
      <c r="DX154" s="7"/>
      <c r="DY154" s="7"/>
      <c r="DZ154" s="12"/>
      <c r="EA154" s="319"/>
    </row>
    <row r="155" spans="1:131" s="10" customFormat="1" x14ac:dyDescent="0.25">
      <c r="A155" s="61" t="s">
        <v>9</v>
      </c>
      <c r="B155" s="24" t="s">
        <v>104</v>
      </c>
      <c r="C155" s="61" t="s">
        <v>236</v>
      </c>
      <c r="D155" s="24" t="s">
        <v>283</v>
      </c>
      <c r="E155" s="3">
        <v>615080</v>
      </c>
      <c r="F155" s="353">
        <v>4</v>
      </c>
      <c r="G155" s="353">
        <v>36</v>
      </c>
      <c r="H155" s="353">
        <v>1535</v>
      </c>
      <c r="I155" s="9" t="s">
        <v>42</v>
      </c>
      <c r="J155" s="10" t="s">
        <v>33</v>
      </c>
      <c r="K155" s="3">
        <v>4</v>
      </c>
      <c r="L155" s="3">
        <v>36</v>
      </c>
      <c r="M155" s="45"/>
      <c r="N155" s="3" t="s">
        <v>186</v>
      </c>
      <c r="O155" s="11" t="s">
        <v>191</v>
      </c>
      <c r="P155" s="3" t="s">
        <v>187</v>
      </c>
      <c r="Q155" s="3" t="s">
        <v>187</v>
      </c>
      <c r="R155" s="3">
        <v>311</v>
      </c>
      <c r="S155" s="3" t="s">
        <v>188</v>
      </c>
      <c r="T155" s="12" t="s">
        <v>760</v>
      </c>
      <c r="U155" s="12" t="s">
        <v>222</v>
      </c>
      <c r="V155" s="12"/>
      <c r="W155" s="12" t="s">
        <v>5</v>
      </c>
      <c r="X155" s="8" t="s">
        <v>57</v>
      </c>
      <c r="Y155" s="25" t="s">
        <v>69</v>
      </c>
      <c r="Z155" s="25" t="s">
        <v>92</v>
      </c>
      <c r="AA155" s="10" t="s">
        <v>106</v>
      </c>
      <c r="AB155" s="110" t="s">
        <v>37</v>
      </c>
      <c r="AC155" s="7">
        <v>20000000</v>
      </c>
      <c r="AD155" s="62"/>
      <c r="AE155" s="7">
        <f>AC155+AD155</f>
        <v>20000000</v>
      </c>
      <c r="AF155" s="62">
        <v>-11000000</v>
      </c>
      <c r="AG155" s="7">
        <f t="shared" si="150"/>
        <v>9000000</v>
      </c>
      <c r="AH155" s="62"/>
      <c r="AI155" s="7">
        <f t="shared" si="151"/>
        <v>9000000</v>
      </c>
      <c r="AJ155" s="62"/>
      <c r="AK155" s="7">
        <v>5500000</v>
      </c>
      <c r="AL155" s="409"/>
      <c r="AM155" s="7">
        <f t="shared" si="143"/>
        <v>5500000</v>
      </c>
      <c r="AN155" s="409">
        <v>0</v>
      </c>
      <c r="AO155" s="62">
        <v>0</v>
      </c>
      <c r="AP155" s="7">
        <f t="shared" si="132"/>
        <v>0</v>
      </c>
      <c r="AQ155" s="62"/>
      <c r="AR155" s="62"/>
      <c r="AS155" s="7">
        <f t="shared" si="148"/>
        <v>0</v>
      </c>
      <c r="AT155" s="62"/>
      <c r="AU155" s="62"/>
      <c r="AV155" s="7">
        <f t="shared" si="149"/>
        <v>0</v>
      </c>
      <c r="AW155" s="7"/>
      <c r="AX155" s="7"/>
      <c r="AY155" s="7">
        <f t="shared" si="199"/>
        <v>0</v>
      </c>
      <c r="AZ155" s="7"/>
      <c r="BA155" s="7"/>
      <c r="BB155" s="7">
        <f t="shared" si="135"/>
        <v>0</v>
      </c>
      <c r="BC155" s="7"/>
      <c r="BD155" s="7"/>
      <c r="BE155" s="7">
        <f t="shared" si="136"/>
        <v>0</v>
      </c>
      <c r="BF155" s="7"/>
      <c r="BG155" s="7"/>
      <c r="BH155" s="7">
        <f t="shared" si="137"/>
        <v>0</v>
      </c>
      <c r="BI155" s="7"/>
      <c r="BJ155" s="7"/>
      <c r="BK155" s="7">
        <f t="shared" si="138"/>
        <v>0</v>
      </c>
      <c r="BL155" s="7"/>
      <c r="BM155" s="7"/>
      <c r="BN155" s="7">
        <f t="shared" si="139"/>
        <v>0</v>
      </c>
      <c r="BO155" s="7"/>
      <c r="BP155" s="7"/>
      <c r="BQ155" s="7">
        <f t="shared" si="140"/>
        <v>0</v>
      </c>
      <c r="BR155" s="7"/>
      <c r="BS155" s="7"/>
      <c r="BT155" s="7">
        <f t="shared" si="141"/>
        <v>0</v>
      </c>
      <c r="BU155" s="7"/>
      <c r="BV155" s="7"/>
      <c r="BW155" s="7">
        <f t="shared" si="142"/>
        <v>0</v>
      </c>
      <c r="BX155" s="7"/>
      <c r="BY155" s="7">
        <f t="shared" si="109"/>
        <v>0</v>
      </c>
      <c r="BZ155" s="7">
        <f t="shared" si="110"/>
        <v>0</v>
      </c>
      <c r="CA155" s="7"/>
      <c r="CB155" s="7">
        <f t="shared" si="111"/>
        <v>5500000</v>
      </c>
      <c r="CC155" s="7">
        <f t="shared" si="112"/>
        <v>5500000</v>
      </c>
      <c r="CD155" s="15">
        <f t="shared" si="113"/>
        <v>0</v>
      </c>
      <c r="CE155" s="15">
        <f t="shared" si="114"/>
        <v>0</v>
      </c>
      <c r="CF155" s="453" t="s">
        <v>852</v>
      </c>
      <c r="CG155" s="7">
        <v>0</v>
      </c>
      <c r="CH155" s="62">
        <v>0</v>
      </c>
      <c r="CI155" s="62"/>
      <c r="CJ155" s="62"/>
      <c r="CK155" s="62"/>
      <c r="CL155" s="7">
        <f>CK155</f>
        <v>0</v>
      </c>
      <c r="CM155" s="62"/>
      <c r="CN155" s="7">
        <f>CM155</f>
        <v>0</v>
      </c>
      <c r="CO155" s="62"/>
      <c r="CP155" s="62">
        <v>0</v>
      </c>
      <c r="CQ155" s="7">
        <f>CO155+CP155</f>
        <v>0</v>
      </c>
      <c r="CR155" s="7">
        <f>CK155+CM155+CO155</f>
        <v>0</v>
      </c>
      <c r="CS155" s="7">
        <f>CL155+CN155+CQ155</f>
        <v>0</v>
      </c>
      <c r="CT155" s="62"/>
      <c r="CU155" s="62"/>
      <c r="CV155" s="7">
        <f t="shared" si="198"/>
        <v>0</v>
      </c>
      <c r="CW155" s="62"/>
      <c r="CX155" s="62"/>
      <c r="CY155" s="7">
        <f>CW155+CX155</f>
        <v>0</v>
      </c>
      <c r="CZ155" s="62">
        <v>295925.40000000002</v>
      </c>
      <c r="DA155" s="62">
        <v>23537.64</v>
      </c>
      <c r="DB155" s="7">
        <f>CZ155+DA155</f>
        <v>319463.04000000004</v>
      </c>
      <c r="DC155" s="62"/>
      <c r="DD155" s="7">
        <f>DC155</f>
        <v>0</v>
      </c>
      <c r="DE155" s="62"/>
      <c r="DF155" s="7">
        <f>DE155</f>
        <v>0</v>
      </c>
      <c r="DG155" s="62"/>
      <c r="DH155" s="7">
        <f>DG155</f>
        <v>0</v>
      </c>
      <c r="DI155" s="62"/>
      <c r="DJ155" s="7">
        <f>DI155</f>
        <v>0</v>
      </c>
      <c r="DK155" s="62"/>
      <c r="DL155" s="7">
        <f>DK155</f>
        <v>0</v>
      </c>
      <c r="DM155" s="62"/>
      <c r="DN155" s="7">
        <f>DM155</f>
        <v>0</v>
      </c>
      <c r="DO155" s="62"/>
      <c r="DP155" s="14">
        <f>CK155+CM155+CO155+CT155+CW155+CZ155+DC155+DE155+DG155+DI155+DK155+DM155</f>
        <v>295925.40000000002</v>
      </c>
      <c r="DQ155" s="14">
        <f>CL155+CN155+CQ155+CV155+CY155+DB155</f>
        <v>319463.04000000004</v>
      </c>
      <c r="DR155" s="7">
        <v>0</v>
      </c>
      <c r="DS155" s="7">
        <f>AG155-DP155</f>
        <v>8704074.5999999996</v>
      </c>
      <c r="DT155" s="7">
        <f>AG155-DQ155</f>
        <v>8680536.9600000009</v>
      </c>
      <c r="DU155" s="15">
        <f>DP155/AG155</f>
        <v>3.2880600000000003E-2</v>
      </c>
      <c r="DV155" s="15">
        <f>DQ155/AG155</f>
        <v>3.5495893333333341E-2</v>
      </c>
      <c r="DW155" s="7"/>
      <c r="DX155" s="7"/>
      <c r="DY155" s="7"/>
      <c r="DZ155" s="12"/>
      <c r="EA155" s="319"/>
    </row>
    <row r="156" spans="1:131" s="10" customFormat="1" ht="75.75" x14ac:dyDescent="0.25">
      <c r="A156" s="61" t="s">
        <v>9</v>
      </c>
      <c r="B156" s="24" t="s">
        <v>65</v>
      </c>
      <c r="C156" s="61" t="s">
        <v>237</v>
      </c>
      <c r="D156" s="24" t="s">
        <v>283</v>
      </c>
      <c r="E156" s="26">
        <v>620005</v>
      </c>
      <c r="F156" s="354">
        <v>4</v>
      </c>
      <c r="G156" s="354">
        <v>36</v>
      </c>
      <c r="H156" s="354">
        <v>1536</v>
      </c>
      <c r="I156" s="9" t="s">
        <v>33</v>
      </c>
      <c r="J156" s="10" t="s">
        <v>33</v>
      </c>
      <c r="K156" s="3">
        <v>4</v>
      </c>
      <c r="L156" s="3">
        <v>36</v>
      </c>
      <c r="M156" s="45"/>
      <c r="N156" s="3" t="s">
        <v>186</v>
      </c>
      <c r="O156" s="11" t="s">
        <v>191</v>
      </c>
      <c r="P156" s="3" t="s">
        <v>187</v>
      </c>
      <c r="Q156" s="3" t="s">
        <v>187</v>
      </c>
      <c r="R156" s="11" t="s">
        <v>198</v>
      </c>
      <c r="S156" s="3" t="s">
        <v>188</v>
      </c>
      <c r="T156" s="12" t="s">
        <v>20</v>
      </c>
      <c r="U156" s="12" t="s">
        <v>222</v>
      </c>
      <c r="V156" s="12"/>
      <c r="W156" s="12" t="s">
        <v>36</v>
      </c>
      <c r="X156" s="8" t="s">
        <v>56</v>
      </c>
      <c r="Y156" s="25" t="s">
        <v>69</v>
      </c>
      <c r="Z156" s="25" t="s">
        <v>92</v>
      </c>
      <c r="AA156" s="252" t="s">
        <v>545</v>
      </c>
      <c r="AB156" s="110" t="s">
        <v>37</v>
      </c>
      <c r="AC156" s="7">
        <v>3000000</v>
      </c>
      <c r="AD156" s="62"/>
      <c r="AE156" s="7">
        <f>AC156+AD156</f>
        <v>3000000</v>
      </c>
      <c r="AF156" s="62"/>
      <c r="AG156" s="7">
        <f t="shared" si="150"/>
        <v>3000000</v>
      </c>
      <c r="AH156" s="62"/>
      <c r="AI156" s="7">
        <f t="shared" si="151"/>
        <v>3000000</v>
      </c>
      <c r="AJ156" s="62"/>
      <c r="AK156" s="7">
        <f>24000000-3301000-10000000+13301000</f>
        <v>24000000</v>
      </c>
      <c r="AL156" s="409"/>
      <c r="AM156" s="7">
        <f t="shared" si="143"/>
        <v>24000000</v>
      </c>
      <c r="AN156" s="409">
        <v>52995</v>
      </c>
      <c r="AO156" s="62">
        <v>1576.4</v>
      </c>
      <c r="AP156" s="7">
        <f t="shared" si="132"/>
        <v>54571.4</v>
      </c>
      <c r="AQ156" s="62">
        <v>1754959.43</v>
      </c>
      <c r="AR156" s="62">
        <v>276099.8</v>
      </c>
      <c r="AS156" s="7">
        <f t="shared" si="148"/>
        <v>2031059.23</v>
      </c>
      <c r="AT156" s="62">
        <v>1633771.02</v>
      </c>
      <c r="AU156" s="62">
        <v>228727.97</v>
      </c>
      <c r="AV156" s="7">
        <f t="shared" si="149"/>
        <v>1862498.99</v>
      </c>
      <c r="AW156" s="7">
        <v>922399.1</v>
      </c>
      <c r="AX156" s="7">
        <v>1576.4</v>
      </c>
      <c r="AY156" s="7">
        <f t="shared" si="199"/>
        <v>923975.5</v>
      </c>
      <c r="AZ156" s="7"/>
      <c r="BA156" s="7"/>
      <c r="BB156" s="7">
        <f t="shared" si="135"/>
        <v>0</v>
      </c>
      <c r="BC156" s="7"/>
      <c r="BD156" s="7"/>
      <c r="BE156" s="7">
        <f t="shared" si="136"/>
        <v>0</v>
      </c>
      <c r="BF156" s="7"/>
      <c r="BG156" s="7"/>
      <c r="BH156" s="7">
        <f t="shared" si="137"/>
        <v>0</v>
      </c>
      <c r="BI156" s="7"/>
      <c r="BJ156" s="7"/>
      <c r="BK156" s="7">
        <f t="shared" si="138"/>
        <v>0</v>
      </c>
      <c r="BL156" s="7"/>
      <c r="BM156" s="7"/>
      <c r="BN156" s="7">
        <f t="shared" si="139"/>
        <v>0</v>
      </c>
      <c r="BO156" s="7"/>
      <c r="BP156" s="7"/>
      <c r="BQ156" s="7">
        <f t="shared" si="140"/>
        <v>0</v>
      </c>
      <c r="BR156" s="7"/>
      <c r="BS156" s="7"/>
      <c r="BT156" s="7">
        <f t="shared" si="141"/>
        <v>0</v>
      </c>
      <c r="BU156" s="7"/>
      <c r="BV156" s="7"/>
      <c r="BW156" s="7">
        <f t="shared" si="142"/>
        <v>0</v>
      </c>
      <c r="BX156" s="7">
        <v>7023897.75</v>
      </c>
      <c r="BY156" s="7">
        <f t="shared" si="109"/>
        <v>4364124.55</v>
      </c>
      <c r="BZ156" s="7">
        <f t="shared" si="110"/>
        <v>4872105.12</v>
      </c>
      <c r="CA156" s="7"/>
      <c r="CB156" s="7">
        <f t="shared" si="111"/>
        <v>19635875.449999999</v>
      </c>
      <c r="CC156" s="7">
        <f t="shared" si="112"/>
        <v>19127894.879999999</v>
      </c>
      <c r="CD156" s="15">
        <f t="shared" si="113"/>
        <v>0.18183852291666666</v>
      </c>
      <c r="CE156" s="15">
        <f t="shared" si="114"/>
        <v>0.20300438000000001</v>
      </c>
      <c r="CF156" s="1" t="s">
        <v>851</v>
      </c>
      <c r="CG156" s="7">
        <f>30000000-16000000-8000000+24000000</f>
        <v>30000000</v>
      </c>
      <c r="CH156" s="62">
        <f>30000000-8000000+8000000+29500000</f>
        <v>59500000</v>
      </c>
      <c r="CI156" s="62"/>
      <c r="CJ156" s="62"/>
      <c r="CK156" s="62"/>
      <c r="CL156" s="7">
        <f>CK156</f>
        <v>0</v>
      </c>
      <c r="CM156" s="62"/>
      <c r="CN156" s="7">
        <f>CM156</f>
        <v>0</v>
      </c>
      <c r="CO156" s="62"/>
      <c r="CP156" s="62">
        <v>0</v>
      </c>
      <c r="CQ156" s="7">
        <f>CO156+CP156</f>
        <v>0</v>
      </c>
      <c r="CR156" s="7">
        <f>CK156+CM156+CO156</f>
        <v>0</v>
      </c>
      <c r="CS156" s="7">
        <f>CL156+CN156+CQ156</f>
        <v>0</v>
      </c>
      <c r="CT156" s="62">
        <v>162616.91</v>
      </c>
      <c r="CU156" s="62">
        <v>22766.37</v>
      </c>
      <c r="CV156" s="7">
        <f>CT156+CU156</f>
        <v>185383.28</v>
      </c>
      <c r="CW156" s="62">
        <v>234124.03</v>
      </c>
      <c r="CX156" s="62">
        <v>32777.360000000001</v>
      </c>
      <c r="CY156" s="7">
        <f>CW156+CX156</f>
        <v>266901.39</v>
      </c>
      <c r="CZ156" s="62">
        <v>866586.58</v>
      </c>
      <c r="DA156" s="62">
        <v>121322.12</v>
      </c>
      <c r="DB156" s="7">
        <f>CZ156+DA156</f>
        <v>987908.7</v>
      </c>
      <c r="DC156" s="62"/>
      <c r="DD156" s="7">
        <f>DC156</f>
        <v>0</v>
      </c>
      <c r="DE156" s="62"/>
      <c r="DF156" s="7">
        <f>DE156</f>
        <v>0</v>
      </c>
      <c r="DG156" s="62"/>
      <c r="DH156" s="7">
        <f>DG156</f>
        <v>0</v>
      </c>
      <c r="DI156" s="62"/>
      <c r="DJ156" s="7">
        <f>DI156</f>
        <v>0</v>
      </c>
      <c r="DK156" s="62"/>
      <c r="DL156" s="7">
        <f>DK156</f>
        <v>0</v>
      </c>
      <c r="DM156" s="62"/>
      <c r="DN156" s="7">
        <f>DM156</f>
        <v>0</v>
      </c>
      <c r="DO156" s="62">
        <v>853992.67</v>
      </c>
      <c r="DP156" s="14">
        <f>CK156+CM156+CO156+CT156+CW156+CZ156+DC156+DE156+DG156+DI156+DK156+DM156</f>
        <v>1263327.52</v>
      </c>
      <c r="DQ156" s="14">
        <f>CL156+CN156+CQ156+CV156+CY156+DB156</f>
        <v>1440193.37</v>
      </c>
      <c r="DR156" s="7">
        <v>0</v>
      </c>
      <c r="DS156" s="7">
        <f>AG156-DP156</f>
        <v>1736672.48</v>
      </c>
      <c r="DT156" s="7">
        <f>AG156-DQ156</f>
        <v>1559806.63</v>
      </c>
      <c r="DU156" s="15">
        <f>DP156/AG156</f>
        <v>0.42110917333333336</v>
      </c>
      <c r="DV156" s="15">
        <f>DQ156/AG156</f>
        <v>0.48006445666666669</v>
      </c>
      <c r="DW156" s="7"/>
      <c r="DX156" s="7"/>
      <c r="DY156" s="7"/>
      <c r="DZ156" s="27"/>
      <c r="EA156" s="319">
        <v>109500000</v>
      </c>
    </row>
    <row r="157" spans="1:131" s="10" customFormat="1" x14ac:dyDescent="0.25">
      <c r="A157" s="61" t="s">
        <v>9</v>
      </c>
      <c r="B157" s="24"/>
      <c r="C157" s="61" t="s">
        <v>237</v>
      </c>
      <c r="D157" s="24"/>
      <c r="E157" s="26">
        <v>620005</v>
      </c>
      <c r="F157" s="354">
        <v>6</v>
      </c>
      <c r="G157" s="354">
        <v>81</v>
      </c>
      <c r="H157" s="354">
        <v>1501</v>
      </c>
      <c r="I157" s="9" t="s">
        <v>33</v>
      </c>
      <c r="J157" s="10" t="s">
        <v>33</v>
      </c>
      <c r="K157" s="3"/>
      <c r="L157" s="3"/>
      <c r="M157" s="45"/>
      <c r="N157" s="3" t="s">
        <v>186</v>
      </c>
      <c r="O157" s="11" t="s">
        <v>191</v>
      </c>
      <c r="P157" s="3" t="s">
        <v>187</v>
      </c>
      <c r="Q157" s="3" t="s">
        <v>187</v>
      </c>
      <c r="R157" s="11" t="s">
        <v>198</v>
      </c>
      <c r="S157" s="11" t="s">
        <v>259</v>
      </c>
      <c r="T157" s="12" t="s">
        <v>20</v>
      </c>
      <c r="U157" s="12" t="s">
        <v>222</v>
      </c>
      <c r="V157" s="12"/>
      <c r="W157" s="12" t="s">
        <v>36</v>
      </c>
      <c r="X157" s="8"/>
      <c r="Y157" s="25" t="s">
        <v>69</v>
      </c>
      <c r="Z157" s="25" t="s">
        <v>92</v>
      </c>
      <c r="AA157" s="252" t="s">
        <v>717</v>
      </c>
      <c r="AB157" s="110" t="s">
        <v>743</v>
      </c>
      <c r="AC157" s="7"/>
      <c r="AD157" s="409"/>
      <c r="AE157" s="7"/>
      <c r="AF157" s="409"/>
      <c r="AG157" s="7"/>
      <c r="AH157" s="409"/>
      <c r="AI157" s="7"/>
      <c r="AJ157" s="409"/>
      <c r="AK157" s="7"/>
      <c r="AL157" s="409">
        <v>256818</v>
      </c>
      <c r="AM157" s="7">
        <f t="shared" si="143"/>
        <v>256818</v>
      </c>
      <c r="AN157" s="7"/>
      <c r="AO157" s="409"/>
      <c r="AP157" s="7">
        <f t="shared" si="132"/>
        <v>0</v>
      </c>
      <c r="AQ157" s="7"/>
      <c r="AR157" s="409"/>
      <c r="AS157" s="7">
        <f t="shared" si="148"/>
        <v>0</v>
      </c>
      <c r="AT157" s="7"/>
      <c r="AU157" s="409"/>
      <c r="AV157" s="7">
        <f t="shared" si="149"/>
        <v>0</v>
      </c>
      <c r="AW157" s="7"/>
      <c r="AX157" s="7"/>
      <c r="AY157" s="7">
        <f t="shared" si="199"/>
        <v>0</v>
      </c>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v>122174.32</v>
      </c>
      <c r="BY157" s="7">
        <f t="shared" si="109"/>
        <v>0</v>
      </c>
      <c r="BZ157" s="7">
        <f t="shared" si="110"/>
        <v>0</v>
      </c>
      <c r="CA157" s="7"/>
      <c r="CB157" s="7">
        <f t="shared" si="111"/>
        <v>256818</v>
      </c>
      <c r="CC157" s="7">
        <f t="shared" si="112"/>
        <v>256818</v>
      </c>
      <c r="CD157" s="15">
        <f t="shared" si="113"/>
        <v>0</v>
      </c>
      <c r="CE157" s="15">
        <f t="shared" si="114"/>
        <v>0</v>
      </c>
      <c r="CF157" s="451" t="s">
        <v>787</v>
      </c>
      <c r="CG157" s="7"/>
      <c r="CH157" s="409"/>
      <c r="CI157" s="409"/>
      <c r="CJ157" s="409"/>
      <c r="CK157" s="409"/>
      <c r="CL157" s="7"/>
      <c r="CM157" s="409"/>
      <c r="CN157" s="7"/>
      <c r="CO157" s="409"/>
      <c r="CP157" s="409"/>
      <c r="CQ157" s="7"/>
      <c r="CR157" s="7"/>
      <c r="CS157" s="7"/>
      <c r="CT157" s="409"/>
      <c r="CU157" s="409"/>
      <c r="CV157" s="7"/>
      <c r="CW157" s="409"/>
      <c r="CX157" s="409"/>
      <c r="CY157" s="7"/>
      <c r="CZ157" s="409"/>
      <c r="DA157" s="409"/>
      <c r="DB157" s="7"/>
      <c r="DC157" s="409"/>
      <c r="DD157" s="7"/>
      <c r="DE157" s="409"/>
      <c r="DF157" s="7"/>
      <c r="DG157" s="409"/>
      <c r="DH157" s="7"/>
      <c r="DI157" s="409"/>
      <c r="DJ157" s="7"/>
      <c r="DK157" s="409"/>
      <c r="DL157" s="7"/>
      <c r="DM157" s="409"/>
      <c r="DN157" s="7"/>
      <c r="DO157" s="409"/>
      <c r="DP157" s="14"/>
      <c r="DQ157" s="14"/>
      <c r="DR157" s="7"/>
      <c r="DS157" s="7"/>
      <c r="DT157" s="7"/>
      <c r="DU157" s="15"/>
      <c r="DV157" s="15"/>
      <c r="DW157" s="7"/>
      <c r="DX157" s="7"/>
      <c r="DY157" s="7"/>
      <c r="DZ157" s="27"/>
      <c r="EA157" s="319"/>
    </row>
    <row r="158" spans="1:131" s="1" customFormat="1" ht="30.75" x14ac:dyDescent="0.25">
      <c r="A158" s="61" t="s">
        <v>9</v>
      </c>
      <c r="B158" s="24"/>
      <c r="C158" s="61" t="s">
        <v>651</v>
      </c>
      <c r="D158" s="24"/>
      <c r="E158" s="3">
        <v>615095</v>
      </c>
      <c r="F158" s="353">
        <v>4</v>
      </c>
      <c r="G158" s="359" t="s">
        <v>187</v>
      </c>
      <c r="H158" s="353">
        <v>1527</v>
      </c>
      <c r="I158" s="9" t="s">
        <v>42</v>
      </c>
      <c r="J158" s="10" t="s">
        <v>33</v>
      </c>
      <c r="K158" s="3">
        <v>4</v>
      </c>
      <c r="L158" s="11" t="s">
        <v>187</v>
      </c>
      <c r="M158" s="45"/>
      <c r="N158" s="11" t="s">
        <v>186</v>
      </c>
      <c r="O158" s="11" t="s">
        <v>191</v>
      </c>
      <c r="P158" s="3" t="s">
        <v>187</v>
      </c>
      <c r="Q158" s="3" t="s">
        <v>187</v>
      </c>
      <c r="R158" s="3">
        <v>312</v>
      </c>
      <c r="S158" s="3" t="s">
        <v>188</v>
      </c>
      <c r="T158" s="12" t="s">
        <v>78</v>
      </c>
      <c r="U158" s="12"/>
      <c r="V158" s="12" t="s">
        <v>222</v>
      </c>
      <c r="W158" s="12" t="s">
        <v>36</v>
      </c>
      <c r="X158" s="12" t="s">
        <v>56</v>
      </c>
      <c r="Y158" s="13" t="s">
        <v>69</v>
      </c>
      <c r="Z158" s="25"/>
      <c r="AA158" s="10" t="s">
        <v>433</v>
      </c>
      <c r="AB158" s="12" t="s">
        <v>8</v>
      </c>
      <c r="AC158" s="27"/>
      <c r="AD158" s="36"/>
      <c r="AE158" s="7"/>
      <c r="AF158" s="33"/>
      <c r="AG158" s="7">
        <f t="shared" si="150"/>
        <v>0</v>
      </c>
      <c r="AH158" s="33"/>
      <c r="AI158" s="7">
        <f t="shared" si="151"/>
        <v>0</v>
      </c>
      <c r="AJ158" s="409"/>
      <c r="AK158" s="27">
        <f>1000000+1000000+471000</f>
        <v>2471000</v>
      </c>
      <c r="AL158" s="319"/>
      <c r="AM158" s="7">
        <f t="shared" si="143"/>
        <v>2471000</v>
      </c>
      <c r="AN158" s="36">
        <v>0</v>
      </c>
      <c r="AO158" s="36">
        <v>0</v>
      </c>
      <c r="AP158" s="7">
        <f t="shared" si="132"/>
        <v>0</v>
      </c>
      <c r="AQ158" s="36"/>
      <c r="AR158" s="36"/>
      <c r="AS158" s="7">
        <f t="shared" si="148"/>
        <v>0</v>
      </c>
      <c r="AT158" s="36"/>
      <c r="AU158" s="36"/>
      <c r="AV158" s="7">
        <f t="shared" si="149"/>
        <v>0</v>
      </c>
      <c r="AW158" s="7"/>
      <c r="AX158" s="7"/>
      <c r="AY158" s="7">
        <f t="shared" si="199"/>
        <v>0</v>
      </c>
      <c r="AZ158" s="7"/>
      <c r="BA158" s="7"/>
      <c r="BB158" s="7">
        <f t="shared" si="135"/>
        <v>0</v>
      </c>
      <c r="BC158" s="7"/>
      <c r="BD158" s="7"/>
      <c r="BE158" s="7">
        <f t="shared" si="136"/>
        <v>0</v>
      </c>
      <c r="BF158" s="7"/>
      <c r="BG158" s="7"/>
      <c r="BH158" s="7">
        <f t="shared" si="137"/>
        <v>0</v>
      </c>
      <c r="BI158" s="7"/>
      <c r="BJ158" s="7"/>
      <c r="BK158" s="7">
        <f t="shared" si="138"/>
        <v>0</v>
      </c>
      <c r="BL158" s="7"/>
      <c r="BM158" s="7"/>
      <c r="BN158" s="7">
        <f t="shared" si="139"/>
        <v>0</v>
      </c>
      <c r="BO158" s="7"/>
      <c r="BP158" s="7"/>
      <c r="BQ158" s="7">
        <f t="shared" si="140"/>
        <v>0</v>
      </c>
      <c r="BR158" s="7"/>
      <c r="BS158" s="7"/>
      <c r="BT158" s="7">
        <f t="shared" si="141"/>
        <v>0</v>
      </c>
      <c r="BU158" s="7"/>
      <c r="BV158" s="7"/>
      <c r="BW158" s="7">
        <f t="shared" si="142"/>
        <v>0</v>
      </c>
      <c r="BX158" s="7"/>
      <c r="BY158" s="7">
        <f t="shared" si="109"/>
        <v>0</v>
      </c>
      <c r="BZ158" s="7">
        <f t="shared" si="110"/>
        <v>0</v>
      </c>
      <c r="CA158" s="7"/>
      <c r="CB158" s="7">
        <f t="shared" si="111"/>
        <v>2471000</v>
      </c>
      <c r="CC158" s="7">
        <f t="shared" si="112"/>
        <v>2471000</v>
      </c>
      <c r="CD158" s="15">
        <f t="shared" si="113"/>
        <v>0</v>
      </c>
      <c r="CE158" s="15">
        <f t="shared" si="114"/>
        <v>0</v>
      </c>
      <c r="CF158" s="451" t="s">
        <v>850</v>
      </c>
      <c r="CG158" s="27">
        <v>10000000</v>
      </c>
      <c r="CH158" s="33">
        <v>5000000</v>
      </c>
      <c r="CI158" s="33"/>
      <c r="CJ158" s="33"/>
      <c r="CK158" s="36"/>
      <c r="CL158" s="7"/>
      <c r="CM158" s="36"/>
      <c r="CN158" s="7"/>
      <c r="CO158" s="36"/>
      <c r="CP158" s="36"/>
      <c r="CQ158" s="7"/>
      <c r="CR158" s="7"/>
      <c r="CS158" s="7"/>
      <c r="CT158" s="36"/>
      <c r="CU158" s="36"/>
      <c r="CV158" s="7"/>
      <c r="CW158" s="36"/>
      <c r="CX158" s="36"/>
      <c r="CY158" s="7"/>
      <c r="CZ158" s="36"/>
      <c r="DA158" s="36"/>
      <c r="DB158" s="7"/>
      <c r="DC158" s="36"/>
      <c r="DD158" s="7"/>
      <c r="DE158" s="36"/>
      <c r="DF158" s="7"/>
      <c r="DG158" s="36"/>
      <c r="DH158" s="7"/>
      <c r="DI158" s="36"/>
      <c r="DJ158" s="7"/>
      <c r="DK158" s="36"/>
      <c r="DL158" s="7"/>
      <c r="DM158" s="36"/>
      <c r="DN158" s="7"/>
      <c r="DO158" s="36"/>
      <c r="DP158" s="14"/>
      <c r="DQ158" s="14"/>
      <c r="DR158" s="7"/>
      <c r="DS158" s="7"/>
      <c r="DT158" s="7"/>
      <c r="DU158" s="15"/>
      <c r="DV158" s="15"/>
      <c r="DW158" s="15"/>
      <c r="DX158" s="15"/>
      <c r="DY158" s="7"/>
      <c r="DZ158" s="27"/>
      <c r="EA158" s="109"/>
    </row>
    <row r="159" spans="1:131" s="504" customFormat="1" ht="30.75" x14ac:dyDescent="0.25">
      <c r="A159" s="507" t="s">
        <v>9</v>
      </c>
      <c r="B159" s="492"/>
      <c r="C159" s="507" t="s">
        <v>651</v>
      </c>
      <c r="D159" s="492"/>
      <c r="E159" s="493">
        <v>615095</v>
      </c>
      <c r="F159" s="494">
        <v>4</v>
      </c>
      <c r="G159" s="505" t="s">
        <v>187</v>
      </c>
      <c r="H159" s="494">
        <v>1528</v>
      </c>
      <c r="I159" s="495" t="s">
        <v>42</v>
      </c>
      <c r="J159" s="491" t="s">
        <v>33</v>
      </c>
      <c r="K159" s="493">
        <v>4</v>
      </c>
      <c r="L159" s="497" t="s">
        <v>187</v>
      </c>
      <c r="M159" s="496"/>
      <c r="N159" s="497" t="s">
        <v>186</v>
      </c>
      <c r="O159" s="497" t="s">
        <v>191</v>
      </c>
      <c r="P159" s="493" t="s">
        <v>187</v>
      </c>
      <c r="Q159" s="493" t="s">
        <v>187</v>
      </c>
      <c r="R159" s="497">
        <v>312</v>
      </c>
      <c r="S159" s="493" t="s">
        <v>188</v>
      </c>
      <c r="T159" s="498" t="s">
        <v>78</v>
      </c>
      <c r="U159" s="498"/>
      <c r="V159" s="498" t="s">
        <v>222</v>
      </c>
      <c r="W159" s="508" t="s">
        <v>36</v>
      </c>
      <c r="X159" s="508" t="s">
        <v>56</v>
      </c>
      <c r="Y159" s="506" t="s">
        <v>69</v>
      </c>
      <c r="Z159" s="509"/>
      <c r="AA159" s="10" t="s">
        <v>511</v>
      </c>
      <c r="AB159" s="110" t="s">
        <v>8</v>
      </c>
      <c r="AC159" s="59"/>
      <c r="AD159" s="59"/>
      <c r="AE159" s="7"/>
      <c r="AF159" s="7"/>
      <c r="AG159" s="7">
        <f t="shared" si="150"/>
        <v>0</v>
      </c>
      <c r="AH159" s="7">
        <v>400000</v>
      </c>
      <c r="AI159" s="7">
        <f t="shared" si="151"/>
        <v>400000</v>
      </c>
      <c r="AJ159" s="62"/>
      <c r="AK159" s="27">
        <f>678232+746056</f>
        <v>1424288</v>
      </c>
      <c r="AL159" s="319"/>
      <c r="AM159" s="7">
        <f t="shared" si="143"/>
        <v>1424288</v>
      </c>
      <c r="AN159" s="36">
        <v>0</v>
      </c>
      <c r="AO159" s="27">
        <v>0</v>
      </c>
      <c r="AP159" s="7">
        <f t="shared" si="132"/>
        <v>0</v>
      </c>
      <c r="AQ159" s="27"/>
      <c r="AR159" s="27"/>
      <c r="AS159" s="7">
        <f t="shared" si="148"/>
        <v>0</v>
      </c>
      <c r="AT159" s="27"/>
      <c r="AU159" s="27"/>
      <c r="AV159" s="7">
        <f t="shared" si="149"/>
        <v>0</v>
      </c>
      <c r="AW159" s="7"/>
      <c r="AX159" s="7"/>
      <c r="AY159" s="7">
        <f t="shared" si="199"/>
        <v>0</v>
      </c>
      <c r="AZ159" s="7"/>
      <c r="BA159" s="7"/>
      <c r="BB159" s="7">
        <f t="shared" si="135"/>
        <v>0</v>
      </c>
      <c r="BC159" s="7"/>
      <c r="BD159" s="7"/>
      <c r="BE159" s="7">
        <f t="shared" si="136"/>
        <v>0</v>
      </c>
      <c r="BF159" s="7"/>
      <c r="BG159" s="7"/>
      <c r="BH159" s="7">
        <f t="shared" si="137"/>
        <v>0</v>
      </c>
      <c r="BI159" s="7"/>
      <c r="BJ159" s="7"/>
      <c r="BK159" s="7">
        <f t="shared" si="138"/>
        <v>0</v>
      </c>
      <c r="BL159" s="7"/>
      <c r="BM159" s="7"/>
      <c r="BN159" s="7">
        <f t="shared" si="139"/>
        <v>0</v>
      </c>
      <c r="BO159" s="7"/>
      <c r="BP159" s="7"/>
      <c r="BQ159" s="7">
        <f t="shared" si="140"/>
        <v>0</v>
      </c>
      <c r="BR159" s="7"/>
      <c r="BS159" s="7"/>
      <c r="BT159" s="7">
        <f t="shared" si="141"/>
        <v>0</v>
      </c>
      <c r="BU159" s="7"/>
      <c r="BV159" s="7"/>
      <c r="BW159" s="7">
        <f t="shared" si="142"/>
        <v>0</v>
      </c>
      <c r="BX159" s="7"/>
      <c r="BY159" s="7">
        <f t="shared" si="109"/>
        <v>0</v>
      </c>
      <c r="BZ159" s="7">
        <f t="shared" si="110"/>
        <v>0</v>
      </c>
      <c r="CA159" s="7"/>
      <c r="CB159" s="7">
        <f t="shared" si="111"/>
        <v>1424288</v>
      </c>
      <c r="CC159" s="7">
        <f t="shared" si="112"/>
        <v>1424288</v>
      </c>
      <c r="CD159" s="15">
        <f t="shared" si="113"/>
        <v>0</v>
      </c>
      <c r="CE159" s="15">
        <f t="shared" si="114"/>
        <v>0</v>
      </c>
      <c r="CF159" s="451" t="s">
        <v>862</v>
      </c>
      <c r="CG159" s="502">
        <v>820661</v>
      </c>
      <c r="CH159" s="502">
        <f>10000000-1424288-820661</f>
        <v>7755051</v>
      </c>
      <c r="CI159" s="502"/>
      <c r="CJ159" s="502"/>
      <c r="CK159" s="510"/>
      <c r="CL159" s="499"/>
      <c r="CM159" s="510"/>
      <c r="CN159" s="499"/>
      <c r="CO159" s="510"/>
      <c r="CP159" s="510"/>
      <c r="CQ159" s="499"/>
      <c r="CR159" s="499"/>
      <c r="CS159" s="499"/>
      <c r="CT159" s="510"/>
      <c r="CU159" s="510"/>
      <c r="CV159" s="499"/>
      <c r="CW159" s="510"/>
      <c r="CX159" s="510"/>
      <c r="CY159" s="499"/>
      <c r="CZ159" s="510"/>
      <c r="DA159" s="510"/>
      <c r="DB159" s="499"/>
      <c r="DC159" s="510"/>
      <c r="DD159" s="499"/>
      <c r="DE159" s="510"/>
      <c r="DF159" s="499"/>
      <c r="DG159" s="510"/>
      <c r="DH159" s="499"/>
      <c r="DI159" s="510"/>
      <c r="DJ159" s="499"/>
      <c r="DK159" s="510"/>
      <c r="DL159" s="499"/>
      <c r="DM159" s="510"/>
      <c r="DN159" s="499"/>
      <c r="DO159" s="510"/>
      <c r="DP159" s="501"/>
      <c r="DQ159" s="501"/>
      <c r="DR159" s="499"/>
      <c r="DS159" s="499"/>
      <c r="DT159" s="499"/>
      <c r="DU159" s="500"/>
      <c r="DV159" s="500"/>
      <c r="DW159" s="499">
        <v>8000000</v>
      </c>
      <c r="DX159" s="499"/>
      <c r="DY159" s="499"/>
      <c r="DZ159" s="502"/>
      <c r="EA159" s="503"/>
    </row>
    <row r="160" spans="1:131" s="1" customFormat="1" x14ac:dyDescent="0.25">
      <c r="A160" s="61" t="s">
        <v>9</v>
      </c>
      <c r="B160" s="24"/>
      <c r="C160" s="61" t="s">
        <v>651</v>
      </c>
      <c r="D160" s="24"/>
      <c r="E160" s="3">
        <v>615095</v>
      </c>
      <c r="F160" s="353">
        <v>4</v>
      </c>
      <c r="G160" s="359" t="s">
        <v>187</v>
      </c>
      <c r="H160" s="353">
        <v>1529</v>
      </c>
      <c r="I160" s="9" t="s">
        <v>42</v>
      </c>
      <c r="J160" s="10" t="s">
        <v>33</v>
      </c>
      <c r="K160" s="3">
        <v>4</v>
      </c>
      <c r="L160" s="11" t="s">
        <v>187</v>
      </c>
      <c r="M160" s="45"/>
      <c r="N160" s="11" t="s">
        <v>186</v>
      </c>
      <c r="O160" s="11" t="s">
        <v>191</v>
      </c>
      <c r="P160" s="3" t="s">
        <v>187</v>
      </c>
      <c r="Q160" s="3" t="s">
        <v>187</v>
      </c>
      <c r="R160" s="11">
        <v>312</v>
      </c>
      <c r="S160" s="3" t="s">
        <v>188</v>
      </c>
      <c r="T160" s="12" t="s">
        <v>78</v>
      </c>
      <c r="U160" s="12"/>
      <c r="V160" s="12" t="s">
        <v>222</v>
      </c>
      <c r="W160" s="51" t="s">
        <v>36</v>
      </c>
      <c r="X160" s="51" t="s">
        <v>56</v>
      </c>
      <c r="Y160" s="13" t="s">
        <v>69</v>
      </c>
      <c r="Z160" s="25" t="s">
        <v>92</v>
      </c>
      <c r="AA160" s="10" t="s">
        <v>525</v>
      </c>
      <c r="AB160" s="110" t="s">
        <v>8</v>
      </c>
      <c r="AC160" s="59"/>
      <c r="AD160" s="59"/>
      <c r="AE160" s="7"/>
      <c r="AF160" s="7"/>
      <c r="AG160" s="7">
        <f t="shared" si="150"/>
        <v>0</v>
      </c>
      <c r="AH160" s="7">
        <v>400000</v>
      </c>
      <c r="AI160" s="7">
        <f t="shared" si="151"/>
        <v>400000</v>
      </c>
      <c r="AJ160" s="62"/>
      <c r="AK160" s="27">
        <v>6000000</v>
      </c>
      <c r="AL160" s="319">
        <v>-4500000</v>
      </c>
      <c r="AM160" s="7">
        <f t="shared" si="143"/>
        <v>1500000</v>
      </c>
      <c r="AN160" s="36">
        <v>0</v>
      </c>
      <c r="AO160" s="27">
        <v>0</v>
      </c>
      <c r="AP160" s="7">
        <f t="shared" si="132"/>
        <v>0</v>
      </c>
      <c r="AQ160" s="27">
        <v>1146359.07</v>
      </c>
      <c r="AR160" s="27"/>
      <c r="AS160" s="7">
        <f t="shared" si="148"/>
        <v>1146359.07</v>
      </c>
      <c r="AT160" s="27">
        <v>-1146359.07</v>
      </c>
      <c r="AU160" s="27"/>
      <c r="AV160" s="7">
        <f t="shared" si="149"/>
        <v>-1146359.07</v>
      </c>
      <c r="AW160" s="7"/>
      <c r="AX160" s="7"/>
      <c r="AY160" s="7">
        <f t="shared" si="199"/>
        <v>0</v>
      </c>
      <c r="AZ160" s="7"/>
      <c r="BA160" s="7"/>
      <c r="BB160" s="7">
        <f t="shared" si="135"/>
        <v>0</v>
      </c>
      <c r="BC160" s="7"/>
      <c r="BD160" s="7"/>
      <c r="BE160" s="7">
        <f t="shared" si="136"/>
        <v>0</v>
      </c>
      <c r="BF160" s="7"/>
      <c r="BG160" s="7"/>
      <c r="BH160" s="7">
        <f t="shared" si="137"/>
        <v>0</v>
      </c>
      <c r="BI160" s="7"/>
      <c r="BJ160" s="7"/>
      <c r="BK160" s="7">
        <f t="shared" si="138"/>
        <v>0</v>
      </c>
      <c r="BL160" s="7"/>
      <c r="BM160" s="7"/>
      <c r="BN160" s="7">
        <f t="shared" si="139"/>
        <v>0</v>
      </c>
      <c r="BO160" s="7"/>
      <c r="BP160" s="7"/>
      <c r="BQ160" s="7">
        <f t="shared" si="140"/>
        <v>0</v>
      </c>
      <c r="BR160" s="7"/>
      <c r="BS160" s="7"/>
      <c r="BT160" s="7">
        <f t="shared" si="141"/>
        <v>0</v>
      </c>
      <c r="BU160" s="7"/>
      <c r="BV160" s="7"/>
      <c r="BW160" s="7">
        <f t="shared" si="142"/>
        <v>0</v>
      </c>
      <c r="BX160" s="7"/>
      <c r="BY160" s="7">
        <f t="shared" si="109"/>
        <v>0</v>
      </c>
      <c r="BZ160" s="7">
        <f t="shared" si="110"/>
        <v>0</v>
      </c>
      <c r="CA160" s="7"/>
      <c r="CB160" s="7">
        <f t="shared" si="111"/>
        <v>1500000</v>
      </c>
      <c r="CC160" s="7">
        <f t="shared" si="112"/>
        <v>1500000</v>
      </c>
      <c r="CD160" s="15">
        <f t="shared" si="113"/>
        <v>0</v>
      </c>
      <c r="CE160" s="15">
        <f t="shared" si="114"/>
        <v>0</v>
      </c>
      <c r="CF160" s="451" t="s">
        <v>850</v>
      </c>
      <c r="CG160" s="27">
        <v>900000</v>
      </c>
      <c r="CH160" s="27">
        <v>900000</v>
      </c>
      <c r="CI160" s="27"/>
      <c r="CJ160" s="27"/>
      <c r="CK160" s="59"/>
      <c r="CL160" s="7"/>
      <c r="CM160" s="59"/>
      <c r="CN160" s="7"/>
      <c r="CO160" s="59"/>
      <c r="CP160" s="59"/>
      <c r="CQ160" s="7"/>
      <c r="CR160" s="7"/>
      <c r="CS160" s="7"/>
      <c r="CT160" s="59"/>
      <c r="CU160" s="59"/>
      <c r="CV160" s="7"/>
      <c r="CW160" s="59"/>
      <c r="CX160" s="59"/>
      <c r="CY160" s="7"/>
      <c r="CZ160" s="59"/>
      <c r="DA160" s="59"/>
      <c r="DB160" s="7"/>
      <c r="DC160" s="59"/>
      <c r="DD160" s="7"/>
      <c r="DE160" s="59"/>
      <c r="DF160" s="7"/>
      <c r="DG160" s="59"/>
      <c r="DH160" s="7"/>
      <c r="DI160" s="59"/>
      <c r="DJ160" s="7"/>
      <c r="DK160" s="59"/>
      <c r="DL160" s="7"/>
      <c r="DM160" s="59"/>
      <c r="DN160" s="7"/>
      <c r="DO160" s="59"/>
      <c r="DP160" s="14"/>
      <c r="DQ160" s="14"/>
      <c r="DR160" s="7"/>
      <c r="DS160" s="7"/>
      <c r="DT160" s="7"/>
      <c r="DU160" s="15"/>
      <c r="DV160" s="15"/>
      <c r="DW160" s="7">
        <v>8000000</v>
      </c>
      <c r="DX160" s="7"/>
      <c r="DY160" s="7"/>
      <c r="DZ160" s="27"/>
      <c r="EA160" s="109"/>
    </row>
    <row r="161" spans="1:131" s="10" customFormat="1" ht="16.5" thickBot="1" x14ac:dyDescent="0.3">
      <c r="A161" s="41"/>
      <c r="B161" s="29"/>
      <c r="C161" s="41"/>
      <c r="D161" s="29"/>
      <c r="E161" s="16"/>
      <c r="F161" s="355"/>
      <c r="G161" s="355"/>
      <c r="H161" s="355"/>
      <c r="I161" s="55"/>
      <c r="J161" s="56"/>
      <c r="K161" s="57"/>
      <c r="L161" s="57"/>
      <c r="M161" s="57"/>
      <c r="N161" s="57"/>
      <c r="O161" s="57"/>
      <c r="P161" s="57"/>
      <c r="Q161" s="57"/>
      <c r="R161" s="57"/>
      <c r="S161" s="57"/>
      <c r="T161" s="28"/>
      <c r="U161" s="28"/>
      <c r="V161" s="28"/>
      <c r="W161" s="18"/>
      <c r="X161" s="18"/>
      <c r="Y161" s="39"/>
      <c r="Z161" s="30"/>
      <c r="AA161" s="56" t="s">
        <v>113</v>
      </c>
      <c r="AB161" s="29"/>
      <c r="AC161" s="20">
        <f>SUM(AC153:AC156)</f>
        <v>25800000</v>
      </c>
      <c r="AD161" s="20">
        <f>SUM(AD153:AD156)</f>
        <v>0</v>
      </c>
      <c r="AE161" s="20">
        <f>SUM(AE153:AE156)</f>
        <v>25800000</v>
      </c>
      <c r="AF161" s="20">
        <f>SUM(AF153:AF156)</f>
        <v>-13800000</v>
      </c>
      <c r="AG161" s="7">
        <f t="shared" si="150"/>
        <v>12000000</v>
      </c>
      <c r="AH161" s="20">
        <f t="shared" ref="AH161:CJ161" si="203">SUM(AH151:AH160)</f>
        <v>800000</v>
      </c>
      <c r="AI161" s="7">
        <f t="shared" si="151"/>
        <v>12800000</v>
      </c>
      <c r="AJ161" s="407">
        <f t="shared" si="203"/>
        <v>0</v>
      </c>
      <c r="AK161" s="20">
        <f t="shared" si="203"/>
        <v>44895288</v>
      </c>
      <c r="AL161" s="20">
        <f t="shared" si="203"/>
        <v>1629919</v>
      </c>
      <c r="AM161" s="20">
        <f t="shared" si="203"/>
        <v>46525207</v>
      </c>
      <c r="AN161" s="20">
        <f t="shared" si="203"/>
        <v>52995</v>
      </c>
      <c r="AO161" s="20">
        <f t="shared" si="203"/>
        <v>1576.4</v>
      </c>
      <c r="AP161" s="20">
        <f t="shared" si="203"/>
        <v>54571.4</v>
      </c>
      <c r="AQ161" s="20">
        <f t="shared" si="203"/>
        <v>2901318.5</v>
      </c>
      <c r="AR161" s="20">
        <f t="shared" si="203"/>
        <v>276099.8</v>
      </c>
      <c r="AS161" s="20">
        <f t="shared" si="203"/>
        <v>3177418.3</v>
      </c>
      <c r="AT161" s="20">
        <f t="shared" si="203"/>
        <v>2096477.84</v>
      </c>
      <c r="AU161" s="20">
        <f t="shared" si="203"/>
        <v>228727.97</v>
      </c>
      <c r="AV161" s="20">
        <f t="shared" si="203"/>
        <v>2325205.8099999996</v>
      </c>
      <c r="AW161" s="20">
        <f t="shared" si="203"/>
        <v>1406454.44</v>
      </c>
      <c r="AX161" s="20">
        <f t="shared" si="203"/>
        <v>1576.4</v>
      </c>
      <c r="AY161" s="20">
        <f t="shared" si="199"/>
        <v>1408030.8399999999</v>
      </c>
      <c r="AZ161" s="20">
        <f t="shared" si="203"/>
        <v>0</v>
      </c>
      <c r="BA161" s="20">
        <f t="shared" si="203"/>
        <v>0</v>
      </c>
      <c r="BB161" s="20">
        <f t="shared" si="203"/>
        <v>0</v>
      </c>
      <c r="BC161" s="20">
        <f t="shared" si="203"/>
        <v>0</v>
      </c>
      <c r="BD161" s="20">
        <f t="shared" si="203"/>
        <v>0</v>
      </c>
      <c r="BE161" s="20">
        <f t="shared" si="203"/>
        <v>0</v>
      </c>
      <c r="BF161" s="20">
        <f t="shared" si="203"/>
        <v>0</v>
      </c>
      <c r="BG161" s="20">
        <f t="shared" si="203"/>
        <v>0</v>
      </c>
      <c r="BH161" s="20">
        <f t="shared" si="203"/>
        <v>0</v>
      </c>
      <c r="BI161" s="20">
        <f t="shared" si="203"/>
        <v>0</v>
      </c>
      <c r="BJ161" s="20">
        <f t="shared" si="203"/>
        <v>0</v>
      </c>
      <c r="BK161" s="20">
        <f t="shared" si="203"/>
        <v>0</v>
      </c>
      <c r="BL161" s="20">
        <f t="shared" si="203"/>
        <v>0</v>
      </c>
      <c r="BM161" s="20">
        <f t="shared" si="203"/>
        <v>0</v>
      </c>
      <c r="BN161" s="20">
        <f t="shared" si="203"/>
        <v>0</v>
      </c>
      <c r="BO161" s="20">
        <f t="shared" si="203"/>
        <v>0</v>
      </c>
      <c r="BP161" s="20">
        <f t="shared" si="203"/>
        <v>0</v>
      </c>
      <c r="BQ161" s="20">
        <f t="shared" si="203"/>
        <v>0</v>
      </c>
      <c r="BR161" s="20">
        <f t="shared" si="203"/>
        <v>0</v>
      </c>
      <c r="BS161" s="20">
        <f t="shared" si="203"/>
        <v>0</v>
      </c>
      <c r="BT161" s="20">
        <f t="shared" si="203"/>
        <v>0</v>
      </c>
      <c r="BU161" s="20">
        <f t="shared" si="203"/>
        <v>0</v>
      </c>
      <c r="BV161" s="20">
        <f t="shared" si="203"/>
        <v>0</v>
      </c>
      <c r="BW161" s="20">
        <f t="shared" si="203"/>
        <v>0</v>
      </c>
      <c r="BX161" s="20">
        <f t="shared" si="203"/>
        <v>11221667.58</v>
      </c>
      <c r="BY161" s="20">
        <f t="shared" si="109"/>
        <v>6457245.7799999993</v>
      </c>
      <c r="BZ161" s="20">
        <f t="shared" si="110"/>
        <v>6965226.3499999996</v>
      </c>
      <c r="CA161" s="20">
        <f t="shared" si="203"/>
        <v>0</v>
      </c>
      <c r="CB161" s="20">
        <f t="shared" si="111"/>
        <v>40067961.219999999</v>
      </c>
      <c r="CC161" s="20">
        <f t="shared" si="112"/>
        <v>39559980.649999999</v>
      </c>
      <c r="CD161" s="21">
        <f t="shared" si="113"/>
        <v>0.13879026438291825</v>
      </c>
      <c r="CE161" s="21">
        <f t="shared" si="114"/>
        <v>0.14970865900714853</v>
      </c>
      <c r="CF161" s="451"/>
      <c r="CG161" s="20">
        <f t="shared" si="203"/>
        <v>42220661</v>
      </c>
      <c r="CH161" s="20">
        <f t="shared" si="203"/>
        <v>73655051</v>
      </c>
      <c r="CI161" s="20">
        <f t="shared" si="203"/>
        <v>0</v>
      </c>
      <c r="CJ161" s="20">
        <f t="shared" si="203"/>
        <v>0</v>
      </c>
      <c r="CK161" s="20">
        <f t="shared" ref="CK161:DT161" si="204">SUM(CK153:CK156)</f>
        <v>0</v>
      </c>
      <c r="CL161" s="20">
        <f t="shared" si="204"/>
        <v>0</v>
      </c>
      <c r="CM161" s="20">
        <f t="shared" si="204"/>
        <v>0</v>
      </c>
      <c r="CN161" s="20">
        <f t="shared" si="204"/>
        <v>0</v>
      </c>
      <c r="CO161" s="20">
        <f t="shared" si="204"/>
        <v>0</v>
      </c>
      <c r="CP161" s="20">
        <f t="shared" si="204"/>
        <v>0</v>
      </c>
      <c r="CQ161" s="20">
        <f t="shared" si="204"/>
        <v>0</v>
      </c>
      <c r="CR161" s="20">
        <f t="shared" si="204"/>
        <v>0</v>
      </c>
      <c r="CS161" s="20">
        <f t="shared" si="204"/>
        <v>0</v>
      </c>
      <c r="CT161" s="20">
        <f t="shared" si="204"/>
        <v>162616.91</v>
      </c>
      <c r="CU161" s="20">
        <f t="shared" si="204"/>
        <v>22766.37</v>
      </c>
      <c r="CV161" s="20">
        <f t="shared" si="204"/>
        <v>185383.28</v>
      </c>
      <c r="CW161" s="20">
        <f t="shared" si="204"/>
        <v>234124.03</v>
      </c>
      <c r="CX161" s="20">
        <f t="shared" si="204"/>
        <v>32777.360000000001</v>
      </c>
      <c r="CY161" s="20">
        <f t="shared" si="204"/>
        <v>266901.39</v>
      </c>
      <c r="CZ161" s="20">
        <f t="shared" si="204"/>
        <v>1162511.98</v>
      </c>
      <c r="DA161" s="20">
        <f t="shared" si="204"/>
        <v>144859.76</v>
      </c>
      <c r="DB161" s="20">
        <f t="shared" si="204"/>
        <v>1307371.74</v>
      </c>
      <c r="DC161" s="20">
        <f t="shared" si="204"/>
        <v>0</v>
      </c>
      <c r="DD161" s="20">
        <f t="shared" si="204"/>
        <v>0</v>
      </c>
      <c r="DE161" s="20">
        <f t="shared" si="204"/>
        <v>0</v>
      </c>
      <c r="DF161" s="20">
        <f t="shared" si="204"/>
        <v>0</v>
      </c>
      <c r="DG161" s="20">
        <f t="shared" si="204"/>
        <v>0</v>
      </c>
      <c r="DH161" s="20">
        <f t="shared" si="204"/>
        <v>0</v>
      </c>
      <c r="DI161" s="20">
        <f t="shared" si="204"/>
        <v>0</v>
      </c>
      <c r="DJ161" s="20">
        <f t="shared" si="204"/>
        <v>0</v>
      </c>
      <c r="DK161" s="20">
        <f t="shared" si="204"/>
        <v>0</v>
      </c>
      <c r="DL161" s="20">
        <f t="shared" si="204"/>
        <v>0</v>
      </c>
      <c r="DM161" s="20">
        <f t="shared" si="204"/>
        <v>0</v>
      </c>
      <c r="DN161" s="20">
        <f t="shared" si="204"/>
        <v>0</v>
      </c>
      <c r="DO161" s="20">
        <f t="shared" si="204"/>
        <v>853992.67</v>
      </c>
      <c r="DP161" s="20">
        <f t="shared" si="204"/>
        <v>1559252.92</v>
      </c>
      <c r="DQ161" s="20">
        <f t="shared" si="204"/>
        <v>1759656.4100000001</v>
      </c>
      <c r="DR161" s="20">
        <f t="shared" si="204"/>
        <v>0</v>
      </c>
      <c r="DS161" s="20">
        <f t="shared" si="204"/>
        <v>10440747.08</v>
      </c>
      <c r="DT161" s="20">
        <f t="shared" si="204"/>
        <v>10240343.59</v>
      </c>
      <c r="DU161" s="21">
        <f>DP161/AG161</f>
        <v>0.12993774333333333</v>
      </c>
      <c r="DV161" s="21">
        <f>DQ161/AG161</f>
        <v>0.14663803416666668</v>
      </c>
      <c r="DW161" s="21"/>
      <c r="DX161" s="21"/>
      <c r="DY161" s="20"/>
      <c r="DZ161" s="42"/>
      <c r="EA161" s="319"/>
    </row>
    <row r="162" spans="1:131" s="10" customFormat="1" ht="16.5" thickTop="1" x14ac:dyDescent="0.25">
      <c r="A162" s="24"/>
      <c r="B162" s="24"/>
      <c r="C162" s="24"/>
      <c r="D162" s="24"/>
      <c r="E162" s="3"/>
      <c r="F162" s="353"/>
      <c r="G162" s="353"/>
      <c r="H162" s="353"/>
      <c r="I162" s="9"/>
      <c r="K162" s="3"/>
      <c r="L162" s="3"/>
      <c r="M162" s="45"/>
      <c r="N162" s="3"/>
      <c r="O162" s="3"/>
      <c r="P162" s="3"/>
      <c r="Q162" s="3"/>
      <c r="R162" s="3"/>
      <c r="S162" s="3"/>
      <c r="T162" s="12"/>
      <c r="U162" s="12"/>
      <c r="V162" s="12"/>
      <c r="W162" s="63"/>
      <c r="X162" s="12"/>
      <c r="Y162" s="13"/>
      <c r="Z162" s="25"/>
      <c r="AB162" s="63"/>
      <c r="AC162" s="64"/>
      <c r="AD162" s="64"/>
      <c r="AE162" s="7"/>
      <c r="AF162" s="7"/>
      <c r="AG162" s="7">
        <f t="shared" si="150"/>
        <v>0</v>
      </c>
      <c r="AH162" s="7"/>
      <c r="AI162" s="7">
        <f t="shared" si="151"/>
        <v>0</v>
      </c>
      <c r="AJ162" s="62"/>
      <c r="AK162" s="27"/>
      <c r="AL162" s="36"/>
      <c r="AM162" s="33"/>
      <c r="AN162" s="36"/>
      <c r="AO162" s="27"/>
      <c r="AP162" s="7"/>
      <c r="AQ162" s="27"/>
      <c r="AR162" s="27"/>
      <c r="AS162" s="7"/>
      <c r="AT162" s="27"/>
      <c r="AU162" s="2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15"/>
      <c r="CE162" s="15"/>
      <c r="CF162" s="451"/>
      <c r="CG162" s="64"/>
      <c r="CH162" s="7"/>
      <c r="CI162" s="7"/>
      <c r="CJ162" s="7"/>
      <c r="CK162" s="64"/>
      <c r="CL162" s="7"/>
      <c r="CM162" s="64"/>
      <c r="CN162" s="7"/>
      <c r="CO162" s="64"/>
      <c r="CP162" s="64"/>
      <c r="CQ162" s="7"/>
      <c r="CR162" s="7"/>
      <c r="CS162" s="7"/>
      <c r="CT162" s="64"/>
      <c r="CU162" s="64"/>
      <c r="CV162" s="7"/>
      <c r="CW162" s="64"/>
      <c r="CX162" s="64"/>
      <c r="CY162" s="7"/>
      <c r="CZ162" s="64"/>
      <c r="DA162" s="64"/>
      <c r="DB162" s="7"/>
      <c r="DC162" s="64"/>
      <c r="DD162" s="7">
        <f>DC162</f>
        <v>0</v>
      </c>
      <c r="DE162" s="64"/>
      <c r="DF162" s="7">
        <f>DE162</f>
        <v>0</v>
      </c>
      <c r="DG162" s="64"/>
      <c r="DH162" s="7">
        <f>DG162</f>
        <v>0</v>
      </c>
      <c r="DI162" s="64"/>
      <c r="DJ162" s="7">
        <f>DI162</f>
        <v>0</v>
      </c>
      <c r="DK162" s="64"/>
      <c r="DL162" s="7">
        <f>DK162</f>
        <v>0</v>
      </c>
      <c r="DM162" s="64"/>
      <c r="DN162" s="7">
        <f>DM162</f>
        <v>0</v>
      </c>
      <c r="DO162" s="64"/>
      <c r="DP162" s="14"/>
      <c r="DQ162" s="14"/>
      <c r="DR162" s="7"/>
      <c r="DS162" s="7"/>
      <c r="DT162" s="7"/>
      <c r="DU162" s="15"/>
      <c r="DV162" s="15"/>
      <c r="DW162" s="15"/>
      <c r="DX162" s="15"/>
      <c r="DY162" s="7"/>
      <c r="DZ162" s="64"/>
      <c r="EA162" s="319"/>
    </row>
    <row r="163" spans="1:131" s="10" customFormat="1" x14ac:dyDescent="0.25">
      <c r="A163" s="44" t="s">
        <v>567</v>
      </c>
      <c r="B163" s="3"/>
      <c r="C163" s="44"/>
      <c r="D163" s="24"/>
      <c r="E163" s="3"/>
      <c r="F163" s="353"/>
      <c r="G163" s="353"/>
      <c r="H163" s="353"/>
      <c r="I163" s="9"/>
      <c r="K163" s="3"/>
      <c r="L163" s="3"/>
      <c r="M163" s="45"/>
      <c r="N163" s="3"/>
      <c r="O163" s="3"/>
      <c r="P163" s="3"/>
      <c r="Q163" s="3"/>
      <c r="R163" s="3"/>
      <c r="S163" s="3"/>
      <c r="T163" s="12"/>
      <c r="U163" s="12"/>
      <c r="V163" s="12"/>
      <c r="W163" s="12"/>
      <c r="X163" s="12"/>
      <c r="Y163" s="13"/>
      <c r="Z163" s="25"/>
      <c r="AA163" s="343" t="s">
        <v>567</v>
      </c>
      <c r="AB163" s="12"/>
      <c r="AC163" s="64"/>
      <c r="AD163" s="64"/>
      <c r="AE163" s="7"/>
      <c r="AF163" s="7"/>
      <c r="AG163" s="7">
        <f t="shared" si="150"/>
        <v>0</v>
      </c>
      <c r="AH163" s="7"/>
      <c r="AI163" s="7">
        <f t="shared" si="151"/>
        <v>0</v>
      </c>
      <c r="AJ163" s="62"/>
      <c r="AK163" s="27"/>
      <c r="AL163" s="36"/>
      <c r="AM163" s="33"/>
      <c r="AN163" s="36"/>
      <c r="AO163" s="27"/>
      <c r="AP163" s="7"/>
      <c r="AQ163" s="27"/>
      <c r="AR163" s="27"/>
      <c r="AS163" s="7"/>
      <c r="AT163" s="27"/>
      <c r="AU163" s="2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15"/>
      <c r="CE163" s="15"/>
      <c r="CF163" s="451"/>
      <c r="CG163" s="64"/>
      <c r="CH163" s="7"/>
      <c r="CI163" s="7"/>
      <c r="CJ163" s="7"/>
      <c r="CK163" s="64"/>
      <c r="CL163" s="7"/>
      <c r="CM163" s="64"/>
      <c r="CN163" s="7"/>
      <c r="CO163" s="64"/>
      <c r="CP163" s="64"/>
      <c r="CQ163" s="7"/>
      <c r="CR163" s="7"/>
      <c r="CS163" s="7"/>
      <c r="CT163" s="64"/>
      <c r="CU163" s="64"/>
      <c r="CV163" s="7"/>
      <c r="CW163" s="64"/>
      <c r="CX163" s="64"/>
      <c r="CY163" s="7"/>
      <c r="CZ163" s="64"/>
      <c r="DA163" s="64"/>
      <c r="DB163" s="7"/>
      <c r="DC163" s="64"/>
      <c r="DD163" s="7"/>
      <c r="DE163" s="64"/>
      <c r="DF163" s="7"/>
      <c r="DG163" s="64"/>
      <c r="DH163" s="7"/>
      <c r="DI163" s="64"/>
      <c r="DJ163" s="7"/>
      <c r="DK163" s="64"/>
      <c r="DL163" s="7"/>
      <c r="DM163" s="64"/>
      <c r="DN163" s="7"/>
      <c r="DO163" s="64"/>
      <c r="DP163" s="14"/>
      <c r="DQ163" s="14"/>
      <c r="DR163" s="7"/>
      <c r="DS163" s="7"/>
      <c r="DT163" s="7"/>
      <c r="DU163" s="15"/>
      <c r="DV163" s="15"/>
      <c r="DW163" s="15"/>
      <c r="DX163" s="15"/>
      <c r="DY163" s="7"/>
      <c r="DZ163" s="64"/>
      <c r="EA163" s="319"/>
    </row>
    <row r="164" spans="1:131" s="10" customFormat="1" ht="15" x14ac:dyDescent="0.2">
      <c r="A164" s="457" t="s">
        <v>578</v>
      </c>
      <c r="B164" s="35" t="s">
        <v>793</v>
      </c>
      <c r="C164" s="8" t="s">
        <v>626</v>
      </c>
      <c r="D164" s="24"/>
      <c r="E164" s="3">
        <v>635005</v>
      </c>
      <c r="F164" s="353">
        <v>5</v>
      </c>
      <c r="G164" s="359" t="s">
        <v>186</v>
      </c>
      <c r="H164" s="353">
        <v>1523</v>
      </c>
      <c r="I164" s="9" t="s">
        <v>246</v>
      </c>
      <c r="J164" s="10" t="s">
        <v>33</v>
      </c>
      <c r="K164" s="3">
        <v>5</v>
      </c>
      <c r="L164" s="11" t="s">
        <v>186</v>
      </c>
      <c r="M164" s="3"/>
      <c r="N164" s="11" t="s">
        <v>186</v>
      </c>
      <c r="O164" s="11" t="s">
        <v>582</v>
      </c>
      <c r="P164" s="11" t="s">
        <v>582</v>
      </c>
      <c r="Q164" s="11" t="s">
        <v>187</v>
      </c>
      <c r="R164" s="3">
        <v>270</v>
      </c>
      <c r="S164" s="11" t="s">
        <v>188</v>
      </c>
      <c r="T164" s="12" t="s">
        <v>26</v>
      </c>
      <c r="U164" s="12" t="s">
        <v>222</v>
      </c>
      <c r="V164" s="12"/>
      <c r="W164" s="12" t="s">
        <v>5</v>
      </c>
      <c r="X164" s="8"/>
      <c r="Y164" s="13"/>
      <c r="Z164" s="25" t="s">
        <v>92</v>
      </c>
      <c r="AA164" s="457" t="s">
        <v>794</v>
      </c>
      <c r="AB164" s="110" t="s">
        <v>8</v>
      </c>
      <c r="AC164" s="27"/>
      <c r="AD164" s="27"/>
      <c r="AE164" s="7"/>
      <c r="AF164" s="7"/>
      <c r="AG164" s="7"/>
      <c r="AH164" s="7"/>
      <c r="AI164" s="7"/>
      <c r="AJ164" s="62"/>
      <c r="AK164" s="27"/>
      <c r="AL164" s="36"/>
      <c r="AM164" s="33">
        <v>26000</v>
      </c>
      <c r="AN164" s="36"/>
      <c r="AO164" s="27"/>
      <c r="AP164" s="7"/>
      <c r="AQ164" s="27"/>
      <c r="AR164" s="27"/>
      <c r="AS164" s="7"/>
      <c r="AT164" s="27"/>
      <c r="AU164" s="27"/>
      <c r="AV164" s="7"/>
      <c r="AW164" s="7"/>
      <c r="AX164" s="7"/>
      <c r="AY164" s="7">
        <f t="shared" si="199"/>
        <v>0</v>
      </c>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f t="shared" ref="BY164:BY228" si="205">AN164+AQ164+AT164++AW164+AZ164+BC164+BF164+BI164+BL164+BO164+BR164+BU164</f>
        <v>0</v>
      </c>
      <c r="BZ164" s="7">
        <f t="shared" ref="BZ164:BZ228" si="206">AP164+AS164+AV164+AY164+BB164+BE164+BH164+BK164+BN164+BQ164+BT164+BW164</f>
        <v>0</v>
      </c>
      <c r="CA164" s="7"/>
      <c r="CB164" s="7">
        <f t="shared" ref="CB164:CB228" si="207">AM164-BY164</f>
        <v>26000</v>
      </c>
      <c r="CC164" s="7">
        <f t="shared" ref="CC164:CC229" si="208">AM164-BZ164</f>
        <v>26000</v>
      </c>
      <c r="CD164" s="15">
        <f t="shared" ref="CD164:CD228" si="209">BY164/AM164</f>
        <v>0</v>
      </c>
      <c r="CE164" s="15">
        <f t="shared" ref="CE164:CE228" si="210">BZ164/AM164</f>
        <v>0</v>
      </c>
      <c r="CF164" s="451" t="s">
        <v>850</v>
      </c>
      <c r="CG164" s="27"/>
      <c r="CH164" s="7"/>
      <c r="CI164" s="7"/>
      <c r="CJ164" s="7"/>
      <c r="CK164" s="27"/>
      <c r="CL164" s="7"/>
      <c r="CM164" s="27"/>
      <c r="CN164" s="7"/>
      <c r="CO164" s="27"/>
      <c r="CP164" s="27"/>
      <c r="CQ164" s="7"/>
      <c r="CR164" s="7"/>
      <c r="CS164" s="7"/>
      <c r="CT164" s="27"/>
      <c r="CU164" s="27"/>
      <c r="CV164" s="7"/>
      <c r="CW164" s="27"/>
      <c r="CX164" s="27"/>
      <c r="CY164" s="7"/>
      <c r="CZ164" s="27"/>
      <c r="DA164" s="27"/>
      <c r="DB164" s="7"/>
      <c r="DC164" s="27"/>
      <c r="DD164" s="7"/>
      <c r="DE164" s="27"/>
      <c r="DF164" s="7"/>
      <c r="DG164" s="27"/>
      <c r="DH164" s="7"/>
      <c r="DI164" s="27"/>
      <c r="DJ164" s="7"/>
      <c r="DK164" s="27"/>
      <c r="DL164" s="7"/>
      <c r="DM164" s="27"/>
      <c r="DN164" s="7"/>
      <c r="DO164" s="27"/>
      <c r="DP164" s="14"/>
      <c r="DQ164" s="14"/>
      <c r="DR164" s="7"/>
      <c r="DS164" s="7"/>
      <c r="DT164" s="7"/>
      <c r="DU164" s="15"/>
      <c r="DV164" s="15"/>
      <c r="DW164" s="15"/>
      <c r="DX164" s="15"/>
      <c r="DY164" s="7"/>
      <c r="DZ164" s="27"/>
      <c r="EA164" s="319"/>
    </row>
    <row r="165" spans="1:131" s="10" customFormat="1" x14ac:dyDescent="0.25">
      <c r="A165" s="61" t="s">
        <v>578</v>
      </c>
      <c r="B165" s="24"/>
      <c r="C165" s="61" t="s">
        <v>634</v>
      </c>
      <c r="D165" s="24" t="s">
        <v>283</v>
      </c>
      <c r="E165" s="3">
        <v>635005</v>
      </c>
      <c r="F165" s="353">
        <v>4</v>
      </c>
      <c r="G165" s="353">
        <v>36</v>
      </c>
      <c r="H165" s="353">
        <v>1537</v>
      </c>
      <c r="I165" s="9" t="s">
        <v>42</v>
      </c>
      <c r="J165" s="10" t="s">
        <v>33</v>
      </c>
      <c r="K165" s="3">
        <v>4</v>
      </c>
      <c r="L165" s="3">
        <v>36</v>
      </c>
      <c r="M165" s="45"/>
      <c r="N165" s="11" t="s">
        <v>186</v>
      </c>
      <c r="O165" s="11" t="s">
        <v>192</v>
      </c>
      <c r="P165" s="3" t="s">
        <v>187</v>
      </c>
      <c r="Q165" s="3" t="s">
        <v>187</v>
      </c>
      <c r="R165" s="3">
        <v>120</v>
      </c>
      <c r="S165" s="3" t="s">
        <v>188</v>
      </c>
      <c r="T165" s="12" t="s">
        <v>47</v>
      </c>
      <c r="U165" s="12" t="s">
        <v>222</v>
      </c>
      <c r="V165" s="12"/>
      <c r="W165" s="12"/>
      <c r="X165" s="12"/>
      <c r="Y165" s="13" t="s">
        <v>70</v>
      </c>
      <c r="Z165" s="25"/>
      <c r="AA165" s="10" t="s">
        <v>510</v>
      </c>
      <c r="AB165" s="110" t="s">
        <v>37</v>
      </c>
      <c r="AC165" s="7">
        <v>10000000</v>
      </c>
      <c r="AD165" s="7">
        <v>10000000</v>
      </c>
      <c r="AE165" s="7">
        <v>10000000</v>
      </c>
      <c r="AF165" s="7"/>
      <c r="AG165" s="7">
        <f t="shared" si="150"/>
        <v>10000000</v>
      </c>
      <c r="AH165" s="7"/>
      <c r="AI165" s="7">
        <f t="shared" si="151"/>
        <v>10000000</v>
      </c>
      <c r="AJ165" s="62"/>
      <c r="AK165" s="7">
        <f>10000000</f>
        <v>10000000</v>
      </c>
      <c r="AL165" s="33"/>
      <c r="AM165" s="33">
        <f t="shared" si="143"/>
        <v>10000000</v>
      </c>
      <c r="AN165" s="33">
        <v>0</v>
      </c>
      <c r="AO165" s="7">
        <v>0</v>
      </c>
      <c r="AP165" s="7">
        <f t="shared" si="132"/>
        <v>0</v>
      </c>
      <c r="AQ165" s="7"/>
      <c r="AR165" s="7"/>
      <c r="AS165" s="7">
        <f t="shared" si="148"/>
        <v>0</v>
      </c>
      <c r="AT165" s="7"/>
      <c r="AU165" s="7"/>
      <c r="AV165" s="7">
        <f t="shared" si="149"/>
        <v>0</v>
      </c>
      <c r="AW165" s="7"/>
      <c r="AX165" s="7"/>
      <c r="AY165" s="7">
        <f t="shared" si="199"/>
        <v>0</v>
      </c>
      <c r="AZ165" s="7"/>
      <c r="BA165" s="7"/>
      <c r="BB165" s="7">
        <f t="shared" si="135"/>
        <v>0</v>
      </c>
      <c r="BC165" s="7"/>
      <c r="BD165" s="7"/>
      <c r="BE165" s="7">
        <f t="shared" si="136"/>
        <v>0</v>
      </c>
      <c r="BF165" s="7"/>
      <c r="BG165" s="7"/>
      <c r="BH165" s="7">
        <f t="shared" si="137"/>
        <v>0</v>
      </c>
      <c r="BI165" s="7"/>
      <c r="BJ165" s="7"/>
      <c r="BK165" s="7">
        <f t="shared" si="138"/>
        <v>0</v>
      </c>
      <c r="BL165" s="7"/>
      <c r="BM165" s="7"/>
      <c r="BN165" s="7">
        <f t="shared" si="139"/>
        <v>0</v>
      </c>
      <c r="BO165" s="7"/>
      <c r="BP165" s="7"/>
      <c r="BQ165" s="7">
        <f t="shared" si="140"/>
        <v>0</v>
      </c>
      <c r="BR165" s="7"/>
      <c r="BS165" s="7"/>
      <c r="BT165" s="7">
        <f t="shared" si="141"/>
        <v>0</v>
      </c>
      <c r="BU165" s="7"/>
      <c r="BV165" s="7"/>
      <c r="BW165" s="7">
        <f t="shared" si="142"/>
        <v>0</v>
      </c>
      <c r="BX165" s="7"/>
      <c r="BY165" s="7">
        <f t="shared" si="205"/>
        <v>0</v>
      </c>
      <c r="BZ165" s="7">
        <f t="shared" si="206"/>
        <v>0</v>
      </c>
      <c r="CA165" s="7"/>
      <c r="CB165" s="7">
        <f t="shared" si="207"/>
        <v>10000000</v>
      </c>
      <c r="CC165" s="7">
        <f t="shared" si="208"/>
        <v>10000000</v>
      </c>
      <c r="CD165" s="15">
        <f t="shared" si="209"/>
        <v>0</v>
      </c>
      <c r="CE165" s="15">
        <f t="shared" si="210"/>
        <v>0</v>
      </c>
      <c r="CF165" s="451" t="s">
        <v>850</v>
      </c>
      <c r="CG165" s="7">
        <f>10000000</f>
        <v>10000000</v>
      </c>
      <c r="CH165" s="7">
        <f>10000000</f>
        <v>10000000</v>
      </c>
      <c r="CI165" s="7"/>
      <c r="CJ165" s="7"/>
      <c r="CK165" s="64"/>
      <c r="CL165" s="7"/>
      <c r="CM165" s="64"/>
      <c r="CN165" s="7"/>
      <c r="CO165" s="64"/>
      <c r="CP165" s="64"/>
      <c r="CQ165" s="7"/>
      <c r="CR165" s="7"/>
      <c r="CS165" s="7"/>
      <c r="CT165" s="64"/>
      <c r="CU165" s="64"/>
      <c r="CV165" s="7"/>
      <c r="CW165" s="64"/>
      <c r="CX165" s="64"/>
      <c r="CY165" s="7"/>
      <c r="CZ165" s="64"/>
      <c r="DA165" s="64"/>
      <c r="DB165" s="7"/>
      <c r="DC165" s="64"/>
      <c r="DD165" s="7"/>
      <c r="DE165" s="64"/>
      <c r="DF165" s="7"/>
      <c r="DG165" s="64"/>
      <c r="DH165" s="7"/>
      <c r="DI165" s="64"/>
      <c r="DJ165" s="7"/>
      <c r="DK165" s="64"/>
      <c r="DL165" s="7"/>
      <c r="DM165" s="64"/>
      <c r="DN165" s="7"/>
      <c r="DO165" s="64"/>
      <c r="DP165" s="14"/>
      <c r="DQ165" s="14"/>
      <c r="DR165" s="7"/>
      <c r="DS165" s="7"/>
      <c r="DT165" s="7"/>
      <c r="DU165" s="15"/>
      <c r="DV165" s="15"/>
      <c r="DW165" s="15"/>
      <c r="DX165" s="15"/>
      <c r="DY165" s="7"/>
      <c r="DZ165" s="64"/>
      <c r="EA165" s="319"/>
    </row>
    <row r="166" spans="1:131" s="10" customFormat="1" ht="16.5" thickBot="1" x14ac:dyDescent="0.3">
      <c r="A166" s="28"/>
      <c r="B166" s="24"/>
      <c r="C166" s="28"/>
      <c r="D166" s="24"/>
      <c r="E166" s="16"/>
      <c r="F166" s="16"/>
      <c r="G166" s="16"/>
      <c r="H166" s="16"/>
      <c r="I166" s="28"/>
      <c r="K166" s="16"/>
      <c r="L166" s="16"/>
      <c r="M166" s="57"/>
      <c r="N166" s="16"/>
      <c r="O166" s="16"/>
      <c r="P166" s="16"/>
      <c r="Q166" s="16"/>
      <c r="R166" s="16"/>
      <c r="S166" s="16"/>
      <c r="T166" s="16"/>
      <c r="U166" s="12"/>
      <c r="V166" s="12"/>
      <c r="W166" s="12"/>
      <c r="X166" s="12"/>
      <c r="Y166" s="13"/>
      <c r="Z166" s="30"/>
      <c r="AA166" s="56" t="s">
        <v>568</v>
      </c>
      <c r="AB166" s="28"/>
      <c r="AC166" s="64"/>
      <c r="AD166" s="64"/>
      <c r="AE166" s="7"/>
      <c r="AF166" s="7"/>
      <c r="AG166" s="7">
        <f t="shared" si="150"/>
        <v>0</v>
      </c>
      <c r="AH166" s="7"/>
      <c r="AI166" s="7">
        <f t="shared" si="151"/>
        <v>0</v>
      </c>
      <c r="AJ166" s="62"/>
      <c r="AK166" s="42">
        <f>SUBTOTAL(9,AK165)</f>
        <v>10000000</v>
      </c>
      <c r="AL166" s="42">
        <f t="shared" ref="AL166" si="211">SUBTOTAL(9,AL165)</f>
        <v>0</v>
      </c>
      <c r="AM166" s="42">
        <f>SUM(AM164:AM165)</f>
        <v>10026000</v>
      </c>
      <c r="AN166" s="42">
        <f t="shared" ref="AN166:CC166" si="212">SUM(AN164:AN165)</f>
        <v>0</v>
      </c>
      <c r="AO166" s="42">
        <f t="shared" si="212"/>
        <v>0</v>
      </c>
      <c r="AP166" s="42">
        <f t="shared" si="212"/>
        <v>0</v>
      </c>
      <c r="AQ166" s="42">
        <f t="shared" si="212"/>
        <v>0</v>
      </c>
      <c r="AR166" s="42">
        <f t="shared" si="212"/>
        <v>0</v>
      </c>
      <c r="AS166" s="42">
        <f t="shared" si="212"/>
        <v>0</v>
      </c>
      <c r="AT166" s="42">
        <f t="shared" si="212"/>
        <v>0</v>
      </c>
      <c r="AU166" s="42">
        <f t="shared" si="212"/>
        <v>0</v>
      </c>
      <c r="AV166" s="42">
        <f t="shared" si="212"/>
        <v>0</v>
      </c>
      <c r="AW166" s="42">
        <f t="shared" si="212"/>
        <v>0</v>
      </c>
      <c r="AX166" s="42">
        <f t="shared" si="212"/>
        <v>0</v>
      </c>
      <c r="AY166" s="20">
        <f t="shared" si="199"/>
        <v>0</v>
      </c>
      <c r="AZ166" s="42">
        <f t="shared" si="212"/>
        <v>0</v>
      </c>
      <c r="BA166" s="42">
        <f t="shared" si="212"/>
        <v>0</v>
      </c>
      <c r="BB166" s="42">
        <f t="shared" si="212"/>
        <v>0</v>
      </c>
      <c r="BC166" s="42">
        <f t="shared" si="212"/>
        <v>0</v>
      </c>
      <c r="BD166" s="42">
        <f t="shared" si="212"/>
        <v>0</v>
      </c>
      <c r="BE166" s="42">
        <f t="shared" si="212"/>
        <v>0</v>
      </c>
      <c r="BF166" s="42">
        <f t="shared" si="212"/>
        <v>0</v>
      </c>
      <c r="BG166" s="42">
        <f t="shared" si="212"/>
        <v>0</v>
      </c>
      <c r="BH166" s="42">
        <f t="shared" si="212"/>
        <v>0</v>
      </c>
      <c r="BI166" s="42">
        <f t="shared" si="212"/>
        <v>0</v>
      </c>
      <c r="BJ166" s="42">
        <f t="shared" si="212"/>
        <v>0</v>
      </c>
      <c r="BK166" s="42">
        <f t="shared" si="212"/>
        <v>0</v>
      </c>
      <c r="BL166" s="42">
        <f t="shared" si="212"/>
        <v>0</v>
      </c>
      <c r="BM166" s="42">
        <f t="shared" si="212"/>
        <v>0</v>
      </c>
      <c r="BN166" s="42">
        <f t="shared" si="212"/>
        <v>0</v>
      </c>
      <c r="BO166" s="42">
        <f t="shared" si="212"/>
        <v>0</v>
      </c>
      <c r="BP166" s="42">
        <f t="shared" si="212"/>
        <v>0</v>
      </c>
      <c r="BQ166" s="42">
        <f t="shared" si="212"/>
        <v>0</v>
      </c>
      <c r="BR166" s="42">
        <f t="shared" si="212"/>
        <v>0</v>
      </c>
      <c r="BS166" s="42">
        <f t="shared" si="212"/>
        <v>0</v>
      </c>
      <c r="BT166" s="42">
        <f t="shared" si="212"/>
        <v>0</v>
      </c>
      <c r="BU166" s="42">
        <f t="shared" si="212"/>
        <v>0</v>
      </c>
      <c r="BV166" s="42">
        <f t="shared" si="212"/>
        <v>0</v>
      </c>
      <c r="BW166" s="42">
        <f t="shared" si="212"/>
        <v>0</v>
      </c>
      <c r="BX166" s="42">
        <f t="shared" si="212"/>
        <v>0</v>
      </c>
      <c r="BY166" s="42">
        <f t="shared" si="212"/>
        <v>0</v>
      </c>
      <c r="BZ166" s="42">
        <f t="shared" si="212"/>
        <v>0</v>
      </c>
      <c r="CA166" s="42">
        <f t="shared" si="212"/>
        <v>0</v>
      </c>
      <c r="CB166" s="42">
        <f t="shared" si="212"/>
        <v>10026000</v>
      </c>
      <c r="CC166" s="42">
        <f t="shared" si="212"/>
        <v>10026000</v>
      </c>
      <c r="CD166" s="21">
        <f t="shared" si="209"/>
        <v>0</v>
      </c>
      <c r="CE166" s="21">
        <f t="shared" si="210"/>
        <v>0</v>
      </c>
      <c r="CF166" s="451"/>
      <c r="CG166" s="42">
        <f>SUBTOTAL(9,CG165)</f>
        <v>10000000</v>
      </c>
      <c r="CH166" s="20">
        <f>SUBTOTAL(9,CH165)</f>
        <v>10000000</v>
      </c>
      <c r="CI166" s="7"/>
      <c r="CJ166" s="7"/>
      <c r="CK166" s="64"/>
      <c r="CL166" s="7"/>
      <c r="CM166" s="64"/>
      <c r="CN166" s="7"/>
      <c r="CO166" s="64"/>
      <c r="CP166" s="64"/>
      <c r="CQ166" s="7"/>
      <c r="CR166" s="7"/>
      <c r="CS166" s="7"/>
      <c r="CT166" s="64"/>
      <c r="CU166" s="64"/>
      <c r="CV166" s="7"/>
      <c r="CW166" s="64"/>
      <c r="CX166" s="64"/>
      <c r="CY166" s="7"/>
      <c r="CZ166" s="64"/>
      <c r="DA166" s="64"/>
      <c r="DB166" s="7"/>
      <c r="DC166" s="64"/>
      <c r="DD166" s="7"/>
      <c r="DE166" s="64"/>
      <c r="DF166" s="7"/>
      <c r="DG166" s="64"/>
      <c r="DH166" s="7"/>
      <c r="DI166" s="64"/>
      <c r="DJ166" s="7"/>
      <c r="DK166" s="64"/>
      <c r="DL166" s="7"/>
      <c r="DM166" s="64"/>
      <c r="DN166" s="7"/>
      <c r="DO166" s="64"/>
      <c r="DP166" s="14"/>
      <c r="DQ166" s="14"/>
      <c r="DR166" s="7"/>
      <c r="DS166" s="7"/>
      <c r="DT166" s="7"/>
      <c r="DU166" s="15"/>
      <c r="DV166" s="15"/>
      <c r="DW166" s="15"/>
      <c r="DX166" s="15"/>
      <c r="DY166" s="7"/>
      <c r="DZ166" s="64"/>
      <c r="EA166" s="319"/>
    </row>
    <row r="167" spans="1:131" s="10" customFormat="1" ht="16.5" thickTop="1" x14ac:dyDescent="0.25">
      <c r="A167" s="24"/>
      <c r="B167" s="24"/>
      <c r="C167" s="24"/>
      <c r="D167" s="24"/>
      <c r="E167" s="3"/>
      <c r="F167" s="353"/>
      <c r="G167" s="353"/>
      <c r="H167" s="353"/>
      <c r="I167" s="9"/>
      <c r="K167" s="3"/>
      <c r="L167" s="3"/>
      <c r="M167" s="45"/>
      <c r="N167" s="3"/>
      <c r="O167" s="3"/>
      <c r="P167" s="3"/>
      <c r="Q167" s="3"/>
      <c r="R167" s="3"/>
      <c r="S167" s="3"/>
      <c r="T167" s="12"/>
      <c r="U167" s="12"/>
      <c r="V167" s="12"/>
      <c r="W167" s="12"/>
      <c r="X167" s="12"/>
      <c r="Y167" s="13"/>
      <c r="Z167" s="25"/>
      <c r="AB167" s="12"/>
      <c r="AC167" s="64"/>
      <c r="AD167" s="64"/>
      <c r="AE167" s="7"/>
      <c r="AF167" s="7"/>
      <c r="AG167" s="7">
        <f t="shared" si="150"/>
        <v>0</v>
      </c>
      <c r="AH167" s="7"/>
      <c r="AI167" s="7">
        <f t="shared" si="151"/>
        <v>0</v>
      </c>
      <c r="AJ167" s="62"/>
      <c r="AK167" s="27"/>
      <c r="AL167" s="36"/>
      <c r="AM167" s="33"/>
      <c r="AN167" s="36"/>
      <c r="AO167" s="27"/>
      <c r="AP167" s="7"/>
      <c r="AQ167" s="27"/>
      <c r="AR167" s="27"/>
      <c r="AS167" s="7"/>
      <c r="AT167" s="27"/>
      <c r="AU167" s="2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15"/>
      <c r="CE167" s="15"/>
      <c r="CF167" s="451"/>
      <c r="CG167" s="64"/>
      <c r="CH167" s="7"/>
      <c r="CI167" s="7"/>
      <c r="CJ167" s="7"/>
      <c r="CK167" s="64"/>
      <c r="CL167" s="7"/>
      <c r="CM167" s="64"/>
      <c r="CN167" s="7"/>
      <c r="CO167" s="64"/>
      <c r="CP167" s="64"/>
      <c r="CQ167" s="7"/>
      <c r="CR167" s="7"/>
      <c r="CS167" s="7"/>
      <c r="CT167" s="64"/>
      <c r="CU167" s="64"/>
      <c r="CV167" s="7"/>
      <c r="CW167" s="64"/>
      <c r="CX167" s="64"/>
      <c r="CY167" s="7"/>
      <c r="CZ167" s="64"/>
      <c r="DA167" s="64"/>
      <c r="DB167" s="7"/>
      <c r="DC167" s="64"/>
      <c r="DD167" s="7"/>
      <c r="DE167" s="64"/>
      <c r="DF167" s="7"/>
      <c r="DG167" s="64"/>
      <c r="DH167" s="7"/>
      <c r="DI167" s="64"/>
      <c r="DJ167" s="7"/>
      <c r="DK167" s="64"/>
      <c r="DL167" s="7"/>
      <c r="DM167" s="64"/>
      <c r="DN167" s="7"/>
      <c r="DO167" s="64"/>
      <c r="DP167" s="14"/>
      <c r="DQ167" s="14"/>
      <c r="DR167" s="7"/>
      <c r="DS167" s="7"/>
      <c r="DT167" s="7"/>
      <c r="DU167" s="15"/>
      <c r="DV167" s="15"/>
      <c r="DW167" s="15"/>
      <c r="DX167" s="15"/>
      <c r="DY167" s="7"/>
      <c r="DZ167" s="64"/>
      <c r="EA167" s="319"/>
    </row>
    <row r="168" spans="1:131" s="10" customFormat="1" x14ac:dyDescent="0.25">
      <c r="A168" s="44" t="s">
        <v>39</v>
      </c>
      <c r="B168" s="24"/>
      <c r="C168" s="44"/>
      <c r="D168" s="24"/>
      <c r="E168" s="3"/>
      <c r="F168" s="353"/>
      <c r="G168" s="353"/>
      <c r="H168" s="353"/>
      <c r="I168" s="9"/>
      <c r="K168" s="3"/>
      <c r="L168" s="3"/>
      <c r="M168" s="45"/>
      <c r="N168" s="3"/>
      <c r="O168" s="3"/>
      <c r="P168" s="3"/>
      <c r="Q168" s="3"/>
      <c r="R168" s="3"/>
      <c r="S168" s="3"/>
      <c r="T168" s="12"/>
      <c r="U168" s="12"/>
      <c r="V168" s="12"/>
      <c r="W168" s="12"/>
      <c r="X168" s="12"/>
      <c r="Y168" s="13"/>
      <c r="Z168" s="25"/>
      <c r="AA168" s="66" t="s">
        <v>39</v>
      </c>
      <c r="AB168" s="12"/>
      <c r="AC168" s="7"/>
      <c r="AD168" s="7"/>
      <c r="AE168" s="7"/>
      <c r="AF168" s="7"/>
      <c r="AG168" s="7">
        <f t="shared" si="150"/>
        <v>0</v>
      </c>
      <c r="AH168" s="7"/>
      <c r="AI168" s="7">
        <f t="shared" si="151"/>
        <v>0</v>
      </c>
      <c r="AJ168" s="62"/>
      <c r="AK168" s="27"/>
      <c r="AL168" s="36"/>
      <c r="AM168" s="33"/>
      <c r="AN168" s="36"/>
      <c r="AO168" s="27"/>
      <c r="AP168" s="7"/>
      <c r="AQ168" s="27"/>
      <c r="AR168" s="27"/>
      <c r="AS168" s="7"/>
      <c r="AT168" s="27"/>
      <c r="AU168" s="27"/>
      <c r="AV168" s="7"/>
      <c r="AW168" s="7"/>
      <c r="AX168" s="7"/>
      <c r="AY168" s="7">
        <f t="shared" si="199"/>
        <v>0</v>
      </c>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15"/>
      <c r="CE168" s="15"/>
      <c r="CF168" s="451"/>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f>DC168</f>
        <v>0</v>
      </c>
      <c r="DE168" s="7"/>
      <c r="DF168" s="7">
        <f>DE168</f>
        <v>0</v>
      </c>
      <c r="DG168" s="7"/>
      <c r="DH168" s="7">
        <f>DG168</f>
        <v>0</v>
      </c>
      <c r="DI168" s="7"/>
      <c r="DJ168" s="7">
        <f>DI168</f>
        <v>0</v>
      </c>
      <c r="DK168" s="7"/>
      <c r="DL168" s="7">
        <f>DK168</f>
        <v>0</v>
      </c>
      <c r="DM168" s="7"/>
      <c r="DN168" s="7">
        <f>DM168</f>
        <v>0</v>
      </c>
      <c r="DO168" s="7"/>
      <c r="DP168" s="14"/>
      <c r="DQ168" s="14"/>
      <c r="DR168" s="7"/>
      <c r="DS168" s="7"/>
      <c r="DT168" s="7"/>
      <c r="DU168" s="15"/>
      <c r="DV168" s="15"/>
      <c r="DW168" s="15"/>
      <c r="DX168" s="15"/>
      <c r="DY168" s="7"/>
      <c r="DZ168" s="27"/>
      <c r="EA168" s="319"/>
    </row>
    <row r="169" spans="1:131" s="10" customFormat="1" x14ac:dyDescent="0.25">
      <c r="A169" s="24" t="s">
        <v>84</v>
      </c>
      <c r="B169" s="24" t="s">
        <v>667</v>
      </c>
      <c r="C169" s="24" t="s">
        <v>238</v>
      </c>
      <c r="D169" s="24"/>
      <c r="E169" s="3">
        <v>705005</v>
      </c>
      <c r="F169" s="353">
        <v>4</v>
      </c>
      <c r="G169" s="359" t="s">
        <v>187</v>
      </c>
      <c r="H169" s="353">
        <v>1530</v>
      </c>
      <c r="I169" s="9" t="s">
        <v>32</v>
      </c>
      <c r="J169" s="10" t="s">
        <v>32</v>
      </c>
      <c r="K169" s="3">
        <v>4</v>
      </c>
      <c r="L169" s="11" t="s">
        <v>187</v>
      </c>
      <c r="M169" s="45"/>
      <c r="N169" s="11" t="s">
        <v>186</v>
      </c>
      <c r="O169" s="11" t="s">
        <v>192</v>
      </c>
      <c r="P169" s="3" t="s">
        <v>187</v>
      </c>
      <c r="Q169" s="3" t="s">
        <v>187</v>
      </c>
      <c r="R169" s="3">
        <v>270</v>
      </c>
      <c r="S169" s="3" t="s">
        <v>188</v>
      </c>
      <c r="T169" s="12" t="s">
        <v>26</v>
      </c>
      <c r="U169" s="12" t="s">
        <v>222</v>
      </c>
      <c r="V169" s="12"/>
      <c r="W169" s="12" t="s">
        <v>2</v>
      </c>
      <c r="X169" s="12"/>
      <c r="Y169" s="25" t="s">
        <v>69</v>
      </c>
      <c r="Z169" s="25" t="s">
        <v>94</v>
      </c>
      <c r="AA169" s="9" t="s">
        <v>293</v>
      </c>
      <c r="AB169" s="12" t="s">
        <v>8</v>
      </c>
      <c r="AC169" s="7"/>
      <c r="AD169" s="7"/>
      <c r="AE169" s="7"/>
      <c r="AF169" s="7"/>
      <c r="AG169" s="7">
        <f t="shared" si="150"/>
        <v>0</v>
      </c>
      <c r="AH169" s="33"/>
      <c r="AI169" s="7">
        <f t="shared" si="151"/>
        <v>0</v>
      </c>
      <c r="AJ169" s="409"/>
      <c r="AK169" s="27">
        <f>500000-70000-21000-80000-211190-14110-73700</f>
        <v>30000</v>
      </c>
      <c r="AL169" s="36"/>
      <c r="AM169" s="33">
        <f t="shared" si="143"/>
        <v>30000</v>
      </c>
      <c r="AN169" s="36">
        <v>0</v>
      </c>
      <c r="AO169" s="36">
        <v>0</v>
      </c>
      <c r="AP169" s="7">
        <f t="shared" si="132"/>
        <v>0</v>
      </c>
      <c r="AQ169" s="36"/>
      <c r="AR169" s="36"/>
      <c r="AS169" s="7">
        <f t="shared" si="148"/>
        <v>0</v>
      </c>
      <c r="AT169" s="36"/>
      <c r="AU169" s="36"/>
      <c r="AV169" s="7">
        <f t="shared" si="149"/>
        <v>0</v>
      </c>
      <c r="AW169" s="7"/>
      <c r="AX169" s="7"/>
      <c r="AY169" s="7">
        <f t="shared" si="199"/>
        <v>0</v>
      </c>
      <c r="AZ169" s="7"/>
      <c r="BA169" s="7"/>
      <c r="BB169" s="7">
        <f t="shared" si="135"/>
        <v>0</v>
      </c>
      <c r="BC169" s="7"/>
      <c r="BD169" s="7"/>
      <c r="BE169" s="7">
        <f t="shared" si="136"/>
        <v>0</v>
      </c>
      <c r="BF169" s="7"/>
      <c r="BG169" s="7"/>
      <c r="BH169" s="7">
        <f t="shared" si="137"/>
        <v>0</v>
      </c>
      <c r="BI169" s="7"/>
      <c r="BJ169" s="7"/>
      <c r="BK169" s="7">
        <f t="shared" si="138"/>
        <v>0</v>
      </c>
      <c r="BL169" s="7"/>
      <c r="BM169" s="7"/>
      <c r="BN169" s="7">
        <f t="shared" si="139"/>
        <v>0</v>
      </c>
      <c r="BO169" s="7"/>
      <c r="BP169" s="7"/>
      <c r="BQ169" s="7">
        <f t="shared" si="140"/>
        <v>0</v>
      </c>
      <c r="BR169" s="7"/>
      <c r="BS169" s="7"/>
      <c r="BT169" s="7">
        <f t="shared" si="141"/>
        <v>0</v>
      </c>
      <c r="BU169" s="7"/>
      <c r="BV169" s="7"/>
      <c r="BW169" s="7">
        <f t="shared" si="142"/>
        <v>0</v>
      </c>
      <c r="BX169" s="7"/>
      <c r="BY169" s="7">
        <f t="shared" si="205"/>
        <v>0</v>
      </c>
      <c r="BZ169" s="7">
        <f t="shared" si="206"/>
        <v>0</v>
      </c>
      <c r="CA169" s="7"/>
      <c r="CB169" s="7">
        <f t="shared" si="207"/>
        <v>30000</v>
      </c>
      <c r="CC169" s="7">
        <f t="shared" si="208"/>
        <v>30000</v>
      </c>
      <c r="CD169" s="15">
        <f t="shared" si="209"/>
        <v>0</v>
      </c>
      <c r="CE169" s="15">
        <f t="shared" si="210"/>
        <v>0</v>
      </c>
      <c r="CF169" s="451" t="s">
        <v>804</v>
      </c>
      <c r="CG169" s="7">
        <v>500000</v>
      </c>
      <c r="CH169" s="7">
        <v>500000</v>
      </c>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14"/>
      <c r="DQ169" s="14"/>
      <c r="DR169" s="7"/>
      <c r="DS169" s="7"/>
      <c r="DT169" s="7"/>
      <c r="DU169" s="15"/>
      <c r="DV169" s="15"/>
      <c r="DW169" s="15"/>
      <c r="DX169" s="15"/>
      <c r="DY169" s="7"/>
      <c r="DZ169" s="27"/>
      <c r="EA169" s="319"/>
    </row>
    <row r="170" spans="1:131" s="10" customFormat="1" x14ac:dyDescent="0.25">
      <c r="A170" s="24" t="s">
        <v>84</v>
      </c>
      <c r="B170" s="24" t="s">
        <v>668</v>
      </c>
      <c r="C170" s="24" t="s">
        <v>238</v>
      </c>
      <c r="D170" s="24"/>
      <c r="E170" s="3">
        <v>710005</v>
      </c>
      <c r="F170" s="353">
        <v>4</v>
      </c>
      <c r="G170" s="359" t="s">
        <v>187</v>
      </c>
      <c r="H170" s="353">
        <v>1553</v>
      </c>
      <c r="I170" s="9" t="s">
        <v>32</v>
      </c>
      <c r="J170" s="10" t="s">
        <v>32</v>
      </c>
      <c r="K170" s="3">
        <v>4</v>
      </c>
      <c r="L170" s="11" t="s">
        <v>187</v>
      </c>
      <c r="M170" s="45"/>
      <c r="N170" s="11" t="s">
        <v>186</v>
      </c>
      <c r="O170" s="11" t="s">
        <v>192</v>
      </c>
      <c r="P170" s="3" t="s">
        <v>187</v>
      </c>
      <c r="Q170" s="3" t="s">
        <v>187</v>
      </c>
      <c r="R170" s="3">
        <v>270</v>
      </c>
      <c r="S170" s="3" t="s">
        <v>188</v>
      </c>
      <c r="T170" s="12" t="s">
        <v>26</v>
      </c>
      <c r="U170" s="12" t="s">
        <v>222</v>
      </c>
      <c r="V170" s="12"/>
      <c r="W170" s="12" t="s">
        <v>2</v>
      </c>
      <c r="X170" s="12"/>
      <c r="Y170" s="25" t="s">
        <v>69</v>
      </c>
      <c r="Z170" s="25" t="s">
        <v>94</v>
      </c>
      <c r="AA170" s="10" t="s">
        <v>660</v>
      </c>
      <c r="AB170" s="12" t="s">
        <v>8</v>
      </c>
      <c r="AC170" s="7"/>
      <c r="AD170" s="7"/>
      <c r="AE170" s="7"/>
      <c r="AF170" s="7"/>
      <c r="AG170" s="7">
        <f t="shared" si="150"/>
        <v>0</v>
      </c>
      <c r="AH170" s="33"/>
      <c r="AI170" s="7">
        <f t="shared" si="151"/>
        <v>0</v>
      </c>
      <c r="AJ170" s="409"/>
      <c r="AK170" s="27">
        <v>70000</v>
      </c>
      <c r="AL170" s="36"/>
      <c r="AM170" s="33">
        <f t="shared" si="143"/>
        <v>70000</v>
      </c>
      <c r="AN170" s="36">
        <v>0</v>
      </c>
      <c r="AO170" s="36">
        <v>0</v>
      </c>
      <c r="AP170" s="7">
        <f t="shared" si="132"/>
        <v>0</v>
      </c>
      <c r="AQ170" s="36"/>
      <c r="AR170" s="36"/>
      <c r="AS170" s="7">
        <f t="shared" si="148"/>
        <v>0</v>
      </c>
      <c r="AT170" s="36"/>
      <c r="AU170" s="36"/>
      <c r="AV170" s="7">
        <f t="shared" si="149"/>
        <v>0</v>
      </c>
      <c r="AW170" s="7"/>
      <c r="AX170" s="7"/>
      <c r="AY170" s="7">
        <f t="shared" si="199"/>
        <v>0</v>
      </c>
      <c r="AZ170" s="7"/>
      <c r="BA170" s="7"/>
      <c r="BB170" s="7">
        <f t="shared" si="135"/>
        <v>0</v>
      </c>
      <c r="BC170" s="7"/>
      <c r="BD170" s="7"/>
      <c r="BE170" s="7">
        <f t="shared" si="136"/>
        <v>0</v>
      </c>
      <c r="BF170" s="7"/>
      <c r="BG170" s="7"/>
      <c r="BH170" s="7">
        <f t="shared" si="137"/>
        <v>0</v>
      </c>
      <c r="BI170" s="7"/>
      <c r="BJ170" s="7"/>
      <c r="BK170" s="7">
        <f t="shared" si="138"/>
        <v>0</v>
      </c>
      <c r="BL170" s="7"/>
      <c r="BM170" s="7"/>
      <c r="BN170" s="7">
        <f t="shared" si="139"/>
        <v>0</v>
      </c>
      <c r="BO170" s="7"/>
      <c r="BP170" s="7"/>
      <c r="BQ170" s="7">
        <f t="shared" si="140"/>
        <v>0</v>
      </c>
      <c r="BR170" s="7"/>
      <c r="BS170" s="7"/>
      <c r="BT170" s="7">
        <f t="shared" si="141"/>
        <v>0</v>
      </c>
      <c r="BU170" s="7"/>
      <c r="BV170" s="7"/>
      <c r="BW170" s="7">
        <f t="shared" si="142"/>
        <v>0</v>
      </c>
      <c r="BX170" s="7"/>
      <c r="BY170" s="7">
        <f t="shared" si="205"/>
        <v>0</v>
      </c>
      <c r="BZ170" s="7">
        <f t="shared" si="206"/>
        <v>0</v>
      </c>
      <c r="CA170" s="7"/>
      <c r="CB170" s="7">
        <f t="shared" si="207"/>
        <v>70000</v>
      </c>
      <c r="CC170" s="7">
        <f t="shared" si="208"/>
        <v>70000</v>
      </c>
      <c r="CD170" s="15">
        <f t="shared" si="209"/>
        <v>0</v>
      </c>
      <c r="CE170" s="15">
        <f t="shared" si="210"/>
        <v>0</v>
      </c>
      <c r="CF170" s="451" t="s">
        <v>805</v>
      </c>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14"/>
      <c r="DQ170" s="14"/>
      <c r="DR170" s="7"/>
      <c r="DS170" s="7"/>
      <c r="DT170" s="7"/>
      <c r="DU170" s="15"/>
      <c r="DV170" s="15"/>
      <c r="DW170" s="15"/>
      <c r="DX170" s="15"/>
      <c r="DY170" s="7"/>
      <c r="DZ170" s="27"/>
      <c r="EA170" s="319"/>
    </row>
    <row r="171" spans="1:131" s="10" customFormat="1" x14ac:dyDescent="0.25">
      <c r="A171" s="24" t="s">
        <v>84</v>
      </c>
      <c r="B171" s="24"/>
      <c r="C171" s="24" t="s">
        <v>639</v>
      </c>
      <c r="D171" s="24"/>
      <c r="E171" s="3">
        <v>710010</v>
      </c>
      <c r="F171" s="353">
        <v>6</v>
      </c>
      <c r="G171" s="359" t="s">
        <v>187</v>
      </c>
      <c r="H171" s="353">
        <v>1517</v>
      </c>
      <c r="I171" s="9" t="s">
        <v>32</v>
      </c>
      <c r="J171" s="10" t="s">
        <v>32</v>
      </c>
      <c r="K171" s="3"/>
      <c r="L171" s="11"/>
      <c r="M171" s="45"/>
      <c r="N171" s="11" t="s">
        <v>186</v>
      </c>
      <c r="O171" s="11" t="s">
        <v>192</v>
      </c>
      <c r="P171" s="3" t="s">
        <v>187</v>
      </c>
      <c r="Q171" s="3" t="s">
        <v>187</v>
      </c>
      <c r="R171" s="3">
        <v>271</v>
      </c>
      <c r="S171" s="11" t="s">
        <v>259</v>
      </c>
      <c r="T171" s="12" t="s">
        <v>260</v>
      </c>
      <c r="U171" s="12" t="s">
        <v>222</v>
      </c>
      <c r="V171" s="12"/>
      <c r="W171" s="12" t="s">
        <v>2</v>
      </c>
      <c r="X171" s="12"/>
      <c r="Y171" s="25" t="s">
        <v>69</v>
      </c>
      <c r="Z171" s="25" t="s">
        <v>94</v>
      </c>
      <c r="AA171" s="10" t="s">
        <v>719</v>
      </c>
      <c r="AB171" s="12" t="s">
        <v>697</v>
      </c>
      <c r="AC171" s="7"/>
      <c r="AD171" s="7"/>
      <c r="AE171" s="7"/>
      <c r="AF171" s="7"/>
      <c r="AG171" s="7"/>
      <c r="AH171" s="33"/>
      <c r="AI171" s="7"/>
      <c r="AJ171" s="409"/>
      <c r="AK171" s="27"/>
      <c r="AL171" s="36">
        <v>216000</v>
      </c>
      <c r="AM171" s="33">
        <f t="shared" si="143"/>
        <v>216000</v>
      </c>
      <c r="AN171" s="36"/>
      <c r="AO171" s="36"/>
      <c r="AP171" s="7">
        <f t="shared" si="132"/>
        <v>0</v>
      </c>
      <c r="AQ171" s="36"/>
      <c r="AR171" s="36"/>
      <c r="AS171" s="7">
        <f t="shared" si="148"/>
        <v>0</v>
      </c>
      <c r="AT171" s="36"/>
      <c r="AU171" s="36"/>
      <c r="AV171" s="7">
        <f t="shared" si="149"/>
        <v>0</v>
      </c>
      <c r="AW171" s="7"/>
      <c r="AX171" s="7"/>
      <c r="AY171" s="7">
        <f t="shared" si="199"/>
        <v>0</v>
      </c>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f t="shared" si="205"/>
        <v>0</v>
      </c>
      <c r="BZ171" s="7">
        <f t="shared" si="206"/>
        <v>0</v>
      </c>
      <c r="CA171" s="7"/>
      <c r="CB171" s="7">
        <f t="shared" si="207"/>
        <v>216000</v>
      </c>
      <c r="CC171" s="7">
        <f t="shared" si="208"/>
        <v>216000</v>
      </c>
      <c r="CD171" s="15">
        <f t="shared" si="209"/>
        <v>0</v>
      </c>
      <c r="CE171" s="15">
        <f t="shared" si="210"/>
        <v>0</v>
      </c>
      <c r="CF171" s="451" t="s">
        <v>806</v>
      </c>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14"/>
      <c r="DQ171" s="14"/>
      <c r="DR171" s="7"/>
      <c r="DS171" s="7"/>
      <c r="DT171" s="7"/>
      <c r="DU171" s="15"/>
      <c r="DV171" s="15"/>
      <c r="DW171" s="15"/>
      <c r="DX171" s="15"/>
      <c r="DY171" s="7"/>
      <c r="DZ171" s="27"/>
      <c r="EA171" s="319"/>
    </row>
    <row r="172" spans="1:131" s="10" customFormat="1" x14ac:dyDescent="0.25">
      <c r="A172" s="24" t="s">
        <v>84</v>
      </c>
      <c r="B172" s="24" t="s">
        <v>669</v>
      </c>
      <c r="C172" s="24" t="s">
        <v>238</v>
      </c>
      <c r="D172" s="24"/>
      <c r="E172" s="3">
        <v>725005</v>
      </c>
      <c r="F172" s="353">
        <v>4</v>
      </c>
      <c r="G172" s="359" t="s">
        <v>187</v>
      </c>
      <c r="H172" s="353">
        <v>1554</v>
      </c>
      <c r="I172" s="9" t="s">
        <v>32</v>
      </c>
      <c r="J172" s="10" t="s">
        <v>32</v>
      </c>
      <c r="K172" s="3">
        <v>4</v>
      </c>
      <c r="L172" s="11" t="s">
        <v>187</v>
      </c>
      <c r="M172" s="45"/>
      <c r="N172" s="11" t="s">
        <v>186</v>
      </c>
      <c r="O172" s="11" t="s">
        <v>192</v>
      </c>
      <c r="P172" s="3" t="s">
        <v>187</v>
      </c>
      <c r="Q172" s="3" t="s">
        <v>187</v>
      </c>
      <c r="R172" s="3">
        <v>270</v>
      </c>
      <c r="S172" s="3" t="s">
        <v>188</v>
      </c>
      <c r="T172" s="12" t="s">
        <v>26</v>
      </c>
      <c r="U172" s="12" t="s">
        <v>222</v>
      </c>
      <c r="V172" s="12"/>
      <c r="W172" s="12" t="s">
        <v>2</v>
      </c>
      <c r="X172" s="12"/>
      <c r="Y172" s="25" t="s">
        <v>69</v>
      </c>
      <c r="Z172" s="25" t="s">
        <v>94</v>
      </c>
      <c r="AA172" s="10" t="s">
        <v>662</v>
      </c>
      <c r="AB172" s="12" t="s">
        <v>8</v>
      </c>
      <c r="AC172" s="7"/>
      <c r="AD172" s="7"/>
      <c r="AE172" s="7"/>
      <c r="AF172" s="7"/>
      <c r="AG172" s="7">
        <f t="shared" si="150"/>
        <v>0</v>
      </c>
      <c r="AH172" s="33"/>
      <c r="AI172" s="7">
        <f t="shared" si="151"/>
        <v>0</v>
      </c>
      <c r="AJ172" s="409"/>
      <c r="AK172" s="27">
        <v>21000</v>
      </c>
      <c r="AL172" s="36"/>
      <c r="AM172" s="33">
        <f t="shared" si="143"/>
        <v>21000</v>
      </c>
      <c r="AN172" s="36">
        <v>0</v>
      </c>
      <c r="AO172" s="36">
        <v>0</v>
      </c>
      <c r="AP172" s="7">
        <f t="shared" si="132"/>
        <v>0</v>
      </c>
      <c r="AQ172" s="36"/>
      <c r="AR172" s="36"/>
      <c r="AS172" s="7">
        <f t="shared" si="148"/>
        <v>0</v>
      </c>
      <c r="AT172" s="36"/>
      <c r="AU172" s="36"/>
      <c r="AV172" s="7">
        <f t="shared" si="149"/>
        <v>0</v>
      </c>
      <c r="AW172" s="7"/>
      <c r="AX172" s="7"/>
      <c r="AY172" s="7">
        <f t="shared" si="199"/>
        <v>0</v>
      </c>
      <c r="AZ172" s="7"/>
      <c r="BA172" s="7"/>
      <c r="BB172" s="7">
        <f t="shared" si="135"/>
        <v>0</v>
      </c>
      <c r="BC172" s="7"/>
      <c r="BD172" s="7"/>
      <c r="BE172" s="7">
        <f t="shared" si="136"/>
        <v>0</v>
      </c>
      <c r="BF172" s="7"/>
      <c r="BG172" s="7"/>
      <c r="BH172" s="7">
        <f t="shared" si="137"/>
        <v>0</v>
      </c>
      <c r="BI172" s="7"/>
      <c r="BJ172" s="7"/>
      <c r="BK172" s="7">
        <f t="shared" si="138"/>
        <v>0</v>
      </c>
      <c r="BL172" s="7"/>
      <c r="BM172" s="7"/>
      <c r="BN172" s="7">
        <f t="shared" si="139"/>
        <v>0</v>
      </c>
      <c r="BO172" s="7"/>
      <c r="BP172" s="7"/>
      <c r="BQ172" s="7">
        <f t="shared" si="140"/>
        <v>0</v>
      </c>
      <c r="BR172" s="7"/>
      <c r="BS172" s="7"/>
      <c r="BT172" s="7">
        <f t="shared" si="141"/>
        <v>0</v>
      </c>
      <c r="BU172" s="7"/>
      <c r="BV172" s="7"/>
      <c r="BW172" s="7">
        <f t="shared" si="142"/>
        <v>0</v>
      </c>
      <c r="BX172" s="7">
        <v>21000</v>
      </c>
      <c r="BY172" s="7">
        <f t="shared" si="205"/>
        <v>0</v>
      </c>
      <c r="BZ172" s="7">
        <f t="shared" si="206"/>
        <v>0</v>
      </c>
      <c r="CA172" s="7"/>
      <c r="CB172" s="7">
        <f t="shared" si="207"/>
        <v>21000</v>
      </c>
      <c r="CC172" s="7">
        <f t="shared" si="208"/>
        <v>21000</v>
      </c>
      <c r="CD172" s="15">
        <f t="shared" si="209"/>
        <v>0</v>
      </c>
      <c r="CE172" s="15">
        <f t="shared" si="210"/>
        <v>0</v>
      </c>
      <c r="CF172" s="451" t="s">
        <v>782</v>
      </c>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14"/>
      <c r="DQ172" s="14"/>
      <c r="DR172" s="7"/>
      <c r="DS172" s="7"/>
      <c r="DT172" s="7"/>
      <c r="DU172" s="15"/>
      <c r="DV172" s="15"/>
      <c r="DW172" s="15"/>
      <c r="DX172" s="15"/>
      <c r="DY172" s="7"/>
      <c r="DZ172" s="27"/>
      <c r="EA172" s="319"/>
    </row>
    <row r="173" spans="1:131" s="10" customFormat="1" x14ac:dyDescent="0.25">
      <c r="A173" s="24" t="s">
        <v>84</v>
      </c>
      <c r="B173" s="24" t="s">
        <v>670</v>
      </c>
      <c r="C173" s="24" t="s">
        <v>636</v>
      </c>
      <c r="E173" s="3">
        <v>725010</v>
      </c>
      <c r="F173" s="353">
        <v>4</v>
      </c>
      <c r="G173" s="359" t="s">
        <v>187</v>
      </c>
      <c r="H173" s="353">
        <v>1533</v>
      </c>
      <c r="I173" s="9" t="s">
        <v>32</v>
      </c>
      <c r="J173" s="10" t="s">
        <v>32</v>
      </c>
      <c r="K173" s="3">
        <v>4</v>
      </c>
      <c r="L173" s="11" t="s">
        <v>187</v>
      </c>
      <c r="M173" s="45"/>
      <c r="N173" s="11" t="s">
        <v>186</v>
      </c>
      <c r="O173" s="11" t="s">
        <v>192</v>
      </c>
      <c r="P173" s="11" t="s">
        <v>187</v>
      </c>
      <c r="Q173" s="3" t="s">
        <v>187</v>
      </c>
      <c r="R173" s="3">
        <v>360</v>
      </c>
      <c r="S173" s="3" t="s">
        <v>188</v>
      </c>
      <c r="T173" s="12" t="s">
        <v>261</v>
      </c>
      <c r="U173" s="12" t="s">
        <v>222</v>
      </c>
      <c r="V173" s="12"/>
      <c r="W173" s="12" t="s">
        <v>2</v>
      </c>
      <c r="X173" s="8"/>
      <c r="Y173" s="13" t="s">
        <v>69</v>
      </c>
      <c r="Z173" s="349" t="s">
        <v>94</v>
      </c>
      <c r="AA173" s="10" t="s">
        <v>451</v>
      </c>
      <c r="AB173" s="12" t="s">
        <v>8</v>
      </c>
      <c r="AC173" s="27"/>
      <c r="AD173" s="27"/>
      <c r="AE173" s="7"/>
      <c r="AF173" s="7"/>
      <c r="AG173" s="7">
        <f t="shared" si="150"/>
        <v>0</v>
      </c>
      <c r="AH173" s="33"/>
      <c r="AI173" s="7">
        <f t="shared" si="151"/>
        <v>0</v>
      </c>
      <c r="AJ173" s="409"/>
      <c r="AK173" s="27">
        <v>4000000</v>
      </c>
      <c r="AL173" s="36"/>
      <c r="AM173" s="33">
        <f t="shared" si="143"/>
        <v>4000000</v>
      </c>
      <c r="AN173" s="36">
        <v>0</v>
      </c>
      <c r="AO173" s="36">
        <v>0</v>
      </c>
      <c r="AP173" s="7">
        <f>AN173+AO173</f>
        <v>0</v>
      </c>
      <c r="AQ173" s="36"/>
      <c r="AR173" s="36"/>
      <c r="AS173" s="7">
        <f t="shared" si="148"/>
        <v>0</v>
      </c>
      <c r="AT173" s="36"/>
      <c r="AU173" s="36"/>
      <c r="AV173" s="7">
        <f t="shared" si="149"/>
        <v>0</v>
      </c>
      <c r="AW173" s="7"/>
      <c r="AX173" s="7"/>
      <c r="AY173" s="7">
        <f t="shared" si="199"/>
        <v>0</v>
      </c>
      <c r="AZ173" s="7"/>
      <c r="BA173" s="7"/>
      <c r="BB173" s="7">
        <f t="shared" si="135"/>
        <v>0</v>
      </c>
      <c r="BC173" s="7"/>
      <c r="BD173" s="7"/>
      <c r="BE173" s="7">
        <f t="shared" si="136"/>
        <v>0</v>
      </c>
      <c r="BF173" s="7"/>
      <c r="BG173" s="7"/>
      <c r="BH173" s="7">
        <f t="shared" si="137"/>
        <v>0</v>
      </c>
      <c r="BI173" s="7"/>
      <c r="BJ173" s="7"/>
      <c r="BK173" s="7">
        <f t="shared" si="138"/>
        <v>0</v>
      </c>
      <c r="BL173" s="7"/>
      <c r="BM173" s="7"/>
      <c r="BN173" s="7">
        <f t="shared" si="139"/>
        <v>0</v>
      </c>
      <c r="BO173" s="7"/>
      <c r="BP173" s="7"/>
      <c r="BQ173" s="7">
        <f t="shared" si="140"/>
        <v>0</v>
      </c>
      <c r="BR173" s="7"/>
      <c r="BS173" s="7"/>
      <c r="BT173" s="7">
        <f t="shared" si="141"/>
        <v>0</v>
      </c>
      <c r="BU173" s="7"/>
      <c r="BV173" s="7"/>
      <c r="BW173" s="7">
        <f t="shared" si="142"/>
        <v>0</v>
      </c>
      <c r="BX173" s="7"/>
      <c r="BY173" s="7">
        <f t="shared" si="205"/>
        <v>0</v>
      </c>
      <c r="BZ173" s="7">
        <f t="shared" si="206"/>
        <v>0</v>
      </c>
      <c r="CA173" s="7"/>
      <c r="CB173" s="7">
        <f t="shared" si="207"/>
        <v>4000000</v>
      </c>
      <c r="CC173" s="7">
        <f t="shared" si="208"/>
        <v>4000000</v>
      </c>
      <c r="CD173" s="15">
        <f t="shared" si="209"/>
        <v>0</v>
      </c>
      <c r="CE173" s="15">
        <f t="shared" si="210"/>
        <v>0</v>
      </c>
      <c r="CF173" s="451" t="s">
        <v>850</v>
      </c>
      <c r="CG173" s="27">
        <v>4000000</v>
      </c>
      <c r="CH173" s="7">
        <v>4000000</v>
      </c>
      <c r="CI173" s="7"/>
      <c r="CJ173" s="7"/>
      <c r="CK173" s="27"/>
      <c r="CL173" s="7"/>
      <c r="CM173" s="27"/>
      <c r="CN173" s="7"/>
      <c r="CO173" s="27"/>
      <c r="CP173" s="27"/>
      <c r="CQ173" s="7"/>
      <c r="CR173" s="7"/>
      <c r="CS173" s="7"/>
      <c r="CT173" s="27"/>
      <c r="CU173" s="27"/>
      <c r="CV173" s="7"/>
      <c r="CW173" s="27"/>
      <c r="CX173" s="27"/>
      <c r="CY173" s="7"/>
      <c r="CZ173" s="27"/>
      <c r="DA173" s="27"/>
      <c r="DB173" s="7"/>
      <c r="DC173" s="27"/>
      <c r="DD173" s="7"/>
      <c r="DE173" s="27"/>
      <c r="DF173" s="7"/>
      <c r="DG173" s="27"/>
      <c r="DH173" s="7"/>
      <c r="DI173" s="27"/>
      <c r="DJ173" s="7"/>
      <c r="DK173" s="27"/>
      <c r="DL173" s="7"/>
      <c r="DM173" s="27"/>
      <c r="DN173" s="7"/>
      <c r="DO173" s="27"/>
      <c r="DP173" s="14"/>
      <c r="DQ173" s="14"/>
      <c r="DR173" s="7"/>
      <c r="DS173" s="7"/>
      <c r="DT173" s="7"/>
      <c r="DU173" s="15"/>
      <c r="DV173" s="15"/>
      <c r="DW173" s="15"/>
      <c r="DX173" s="15"/>
      <c r="DY173" s="7"/>
      <c r="DZ173" s="27"/>
      <c r="EA173" s="319"/>
    </row>
    <row r="174" spans="1:131" s="10" customFormat="1" x14ac:dyDescent="0.25">
      <c r="A174" s="24" t="s">
        <v>84</v>
      </c>
      <c r="B174" s="24" t="s">
        <v>670</v>
      </c>
      <c r="C174" s="24" t="s">
        <v>238</v>
      </c>
      <c r="D174" s="24"/>
      <c r="E174" s="3">
        <v>725010</v>
      </c>
      <c r="F174" s="353">
        <v>4</v>
      </c>
      <c r="G174" s="359" t="s">
        <v>187</v>
      </c>
      <c r="H174" s="353">
        <v>1555</v>
      </c>
      <c r="I174" s="9" t="s">
        <v>32</v>
      </c>
      <c r="J174" s="10" t="s">
        <v>32</v>
      </c>
      <c r="K174" s="3">
        <v>4</v>
      </c>
      <c r="L174" s="11" t="s">
        <v>187</v>
      </c>
      <c r="M174" s="45"/>
      <c r="N174" s="11" t="s">
        <v>186</v>
      </c>
      <c r="O174" s="11" t="s">
        <v>192</v>
      </c>
      <c r="P174" s="3" t="s">
        <v>187</v>
      </c>
      <c r="Q174" s="3" t="s">
        <v>187</v>
      </c>
      <c r="R174" s="3">
        <v>270</v>
      </c>
      <c r="S174" s="3" t="s">
        <v>188</v>
      </c>
      <c r="T174" s="12" t="s">
        <v>26</v>
      </c>
      <c r="U174" s="12" t="s">
        <v>222</v>
      </c>
      <c r="V174" s="12"/>
      <c r="W174" s="12" t="s">
        <v>2</v>
      </c>
      <c r="X174" s="12"/>
      <c r="Y174" s="25" t="s">
        <v>69</v>
      </c>
      <c r="Z174" s="25" t="s">
        <v>94</v>
      </c>
      <c r="AA174" s="10" t="s">
        <v>661</v>
      </c>
      <c r="AB174" s="12" t="s">
        <v>8</v>
      </c>
      <c r="AC174" s="7"/>
      <c r="AD174" s="7"/>
      <c r="AE174" s="7"/>
      <c r="AF174" s="7"/>
      <c r="AG174" s="7">
        <f t="shared" si="150"/>
        <v>0</v>
      </c>
      <c r="AH174" s="33"/>
      <c r="AI174" s="7">
        <f t="shared" si="151"/>
        <v>0</v>
      </c>
      <c r="AJ174" s="409"/>
      <c r="AK174" s="27">
        <v>80000</v>
      </c>
      <c r="AL174" s="36"/>
      <c r="AM174" s="33">
        <f t="shared" si="143"/>
        <v>80000</v>
      </c>
      <c r="AN174" s="36">
        <v>0</v>
      </c>
      <c r="AO174" s="36">
        <v>0</v>
      </c>
      <c r="AP174" s="7">
        <f t="shared" si="132"/>
        <v>0</v>
      </c>
      <c r="AQ174" s="36"/>
      <c r="AR174" s="36"/>
      <c r="AS174" s="7">
        <f t="shared" si="148"/>
        <v>0</v>
      </c>
      <c r="AT174" s="36"/>
      <c r="AU174" s="36"/>
      <c r="AV174" s="7">
        <f t="shared" si="149"/>
        <v>0</v>
      </c>
      <c r="AW174" s="7"/>
      <c r="AX174" s="7"/>
      <c r="AY174" s="7">
        <f t="shared" si="199"/>
        <v>0</v>
      </c>
      <c r="AZ174" s="7"/>
      <c r="BA174" s="7"/>
      <c r="BB174" s="7">
        <f t="shared" si="135"/>
        <v>0</v>
      </c>
      <c r="BC174" s="7"/>
      <c r="BD174" s="7"/>
      <c r="BE174" s="7">
        <f t="shared" si="136"/>
        <v>0</v>
      </c>
      <c r="BF174" s="7"/>
      <c r="BG174" s="7"/>
      <c r="BH174" s="7">
        <f t="shared" si="137"/>
        <v>0</v>
      </c>
      <c r="BI174" s="7"/>
      <c r="BJ174" s="7"/>
      <c r="BK174" s="7">
        <f t="shared" si="138"/>
        <v>0</v>
      </c>
      <c r="BL174" s="7"/>
      <c r="BM174" s="7"/>
      <c r="BN174" s="7">
        <f t="shared" si="139"/>
        <v>0</v>
      </c>
      <c r="BO174" s="7"/>
      <c r="BP174" s="7"/>
      <c r="BQ174" s="7">
        <f t="shared" si="140"/>
        <v>0</v>
      </c>
      <c r="BR174" s="7"/>
      <c r="BS174" s="7"/>
      <c r="BT174" s="7">
        <f t="shared" si="141"/>
        <v>0</v>
      </c>
      <c r="BU174" s="7"/>
      <c r="BV174" s="7"/>
      <c r="BW174" s="7">
        <f t="shared" si="142"/>
        <v>0</v>
      </c>
      <c r="BX174" s="7"/>
      <c r="BY174" s="7">
        <f t="shared" si="205"/>
        <v>0</v>
      </c>
      <c r="BZ174" s="7">
        <f t="shared" si="206"/>
        <v>0</v>
      </c>
      <c r="CA174" s="7"/>
      <c r="CB174" s="7">
        <f t="shared" si="207"/>
        <v>80000</v>
      </c>
      <c r="CC174" s="7">
        <f t="shared" si="208"/>
        <v>80000</v>
      </c>
      <c r="CD174" s="15">
        <f t="shared" si="209"/>
        <v>0</v>
      </c>
      <c r="CE174" s="15">
        <f t="shared" si="210"/>
        <v>0</v>
      </c>
      <c r="CF174" s="451" t="s">
        <v>850</v>
      </c>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14"/>
      <c r="DQ174" s="14"/>
      <c r="DR174" s="7"/>
      <c r="DS174" s="7"/>
      <c r="DT174" s="7"/>
      <c r="DU174" s="15"/>
      <c r="DV174" s="15"/>
      <c r="DW174" s="15"/>
      <c r="DX174" s="15"/>
      <c r="DY174" s="7"/>
      <c r="DZ174" s="27"/>
      <c r="EA174" s="319"/>
    </row>
    <row r="175" spans="1:131" s="10" customFormat="1" ht="30.75" x14ac:dyDescent="0.25">
      <c r="A175" s="24" t="s">
        <v>84</v>
      </c>
      <c r="B175" s="24" t="s">
        <v>670</v>
      </c>
      <c r="C175" s="24" t="s">
        <v>626</v>
      </c>
      <c r="D175" s="24"/>
      <c r="E175" s="3">
        <v>725010</v>
      </c>
      <c r="F175" s="353">
        <v>5</v>
      </c>
      <c r="G175" s="359" t="s">
        <v>186</v>
      </c>
      <c r="H175" s="353">
        <v>1526</v>
      </c>
      <c r="I175" s="9" t="s">
        <v>246</v>
      </c>
      <c r="J175" s="10" t="s">
        <v>32</v>
      </c>
      <c r="K175" s="3">
        <v>5</v>
      </c>
      <c r="L175" s="11" t="s">
        <v>186</v>
      </c>
      <c r="M175" s="45"/>
      <c r="N175" s="11" t="s">
        <v>186</v>
      </c>
      <c r="O175" s="11" t="s">
        <v>189</v>
      </c>
      <c r="P175" s="3" t="s">
        <v>187</v>
      </c>
      <c r="Q175" s="3" t="s">
        <v>187</v>
      </c>
      <c r="R175" s="3">
        <v>270</v>
      </c>
      <c r="S175" s="3" t="s">
        <v>188</v>
      </c>
      <c r="T175" s="12" t="s">
        <v>26</v>
      </c>
      <c r="U175" s="12" t="s">
        <v>222</v>
      </c>
      <c r="V175" s="12"/>
      <c r="W175" s="12" t="s">
        <v>5</v>
      </c>
      <c r="X175" s="12"/>
      <c r="Y175" s="25"/>
      <c r="Z175" s="25" t="s">
        <v>92</v>
      </c>
      <c r="AA175" s="10" t="s">
        <v>798</v>
      </c>
      <c r="AB175" s="12" t="s">
        <v>8</v>
      </c>
      <c r="AC175" s="7"/>
      <c r="AD175" s="7"/>
      <c r="AE175" s="7"/>
      <c r="AF175" s="7"/>
      <c r="AG175" s="7"/>
      <c r="AH175" s="33"/>
      <c r="AI175" s="7"/>
      <c r="AJ175" s="409"/>
      <c r="AK175" s="27"/>
      <c r="AL175" s="36"/>
      <c r="AM175" s="33">
        <v>600000</v>
      </c>
      <c r="AN175" s="36"/>
      <c r="AO175" s="36"/>
      <c r="AP175" s="7"/>
      <c r="AQ175" s="36"/>
      <c r="AR175" s="36"/>
      <c r="AS175" s="7"/>
      <c r="AT175" s="36"/>
      <c r="AU175" s="36"/>
      <c r="AV175" s="7"/>
      <c r="AW175" s="7"/>
      <c r="AX175" s="7"/>
      <c r="AY175" s="7">
        <f t="shared" si="199"/>
        <v>0</v>
      </c>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f t="shared" si="205"/>
        <v>0</v>
      </c>
      <c r="BZ175" s="7">
        <f t="shared" si="206"/>
        <v>0</v>
      </c>
      <c r="CA175" s="7"/>
      <c r="CB175" s="7">
        <f t="shared" si="207"/>
        <v>600000</v>
      </c>
      <c r="CC175" s="7">
        <f t="shared" si="208"/>
        <v>600000</v>
      </c>
      <c r="CD175" s="15">
        <f t="shared" si="209"/>
        <v>0</v>
      </c>
      <c r="CE175" s="15">
        <f t="shared" si="210"/>
        <v>0</v>
      </c>
      <c r="CF175" s="451" t="s">
        <v>850</v>
      </c>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14"/>
      <c r="DQ175" s="14"/>
      <c r="DR175" s="7"/>
      <c r="DS175" s="7"/>
      <c r="DT175" s="7"/>
      <c r="DU175" s="15"/>
      <c r="DV175" s="15"/>
      <c r="DW175" s="15"/>
      <c r="DX175" s="15"/>
      <c r="DY175" s="7"/>
      <c r="DZ175" s="27"/>
      <c r="EA175" s="319"/>
    </row>
    <row r="176" spans="1:131" s="10" customFormat="1" x14ac:dyDescent="0.25">
      <c r="A176" s="24" t="s">
        <v>84</v>
      </c>
      <c r="B176" s="24"/>
      <c r="C176" s="24" t="s">
        <v>636</v>
      </c>
      <c r="D176" s="24"/>
      <c r="E176" s="3">
        <v>725010</v>
      </c>
      <c r="F176" s="353">
        <v>6</v>
      </c>
      <c r="G176" s="359" t="s">
        <v>187</v>
      </c>
      <c r="H176" s="353">
        <v>1518</v>
      </c>
      <c r="I176" s="9" t="s">
        <v>32</v>
      </c>
      <c r="J176" s="10" t="s">
        <v>32</v>
      </c>
      <c r="K176" s="3"/>
      <c r="L176" s="11"/>
      <c r="M176" s="45"/>
      <c r="N176" s="11" t="s">
        <v>186</v>
      </c>
      <c r="O176" s="11" t="s">
        <v>192</v>
      </c>
      <c r="P176" s="3" t="s">
        <v>187</v>
      </c>
      <c r="Q176" s="3" t="s">
        <v>187</v>
      </c>
      <c r="R176" s="3">
        <v>312</v>
      </c>
      <c r="S176" s="3" t="s">
        <v>259</v>
      </c>
      <c r="T176" s="12" t="s">
        <v>89</v>
      </c>
      <c r="U176" s="12" t="s">
        <v>222</v>
      </c>
      <c r="V176" s="12"/>
      <c r="W176" s="12" t="s">
        <v>5</v>
      </c>
      <c r="X176" s="8" t="s">
        <v>57</v>
      </c>
      <c r="Y176" s="25" t="s">
        <v>69</v>
      </c>
      <c r="Z176" s="25" t="s">
        <v>92</v>
      </c>
      <c r="AA176" s="10" t="s">
        <v>720</v>
      </c>
      <c r="AB176" s="12" t="s">
        <v>697</v>
      </c>
      <c r="AC176" s="7"/>
      <c r="AD176" s="7"/>
      <c r="AE176" s="7"/>
      <c r="AF176" s="7"/>
      <c r="AG176" s="7"/>
      <c r="AH176" s="33"/>
      <c r="AI176" s="7"/>
      <c r="AJ176" s="409"/>
      <c r="AK176" s="27"/>
      <c r="AL176" s="36">
        <v>353709</v>
      </c>
      <c r="AM176" s="33">
        <f t="shared" si="143"/>
        <v>353709</v>
      </c>
      <c r="AN176" s="36"/>
      <c r="AO176" s="36"/>
      <c r="AP176" s="7">
        <f t="shared" si="132"/>
        <v>0</v>
      </c>
      <c r="AQ176" s="36"/>
      <c r="AR176" s="36"/>
      <c r="AS176" s="7">
        <f t="shared" si="148"/>
        <v>0</v>
      </c>
      <c r="AT176" s="36"/>
      <c r="AU176" s="36"/>
      <c r="AV176" s="7">
        <f t="shared" si="149"/>
        <v>0</v>
      </c>
      <c r="AW176" s="7"/>
      <c r="AX176" s="7"/>
      <c r="AY176" s="7">
        <f t="shared" si="199"/>
        <v>0</v>
      </c>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f t="shared" si="205"/>
        <v>0</v>
      </c>
      <c r="BZ176" s="7">
        <f t="shared" si="206"/>
        <v>0</v>
      </c>
      <c r="CA176" s="7"/>
      <c r="CB176" s="7">
        <f t="shared" si="207"/>
        <v>353709</v>
      </c>
      <c r="CC176" s="7">
        <f t="shared" si="208"/>
        <v>353709</v>
      </c>
      <c r="CD176" s="15">
        <f t="shared" si="209"/>
        <v>0</v>
      </c>
      <c r="CE176" s="15">
        <f t="shared" si="210"/>
        <v>0</v>
      </c>
      <c r="CF176" s="451" t="s">
        <v>685</v>
      </c>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14"/>
      <c r="DQ176" s="14"/>
      <c r="DR176" s="7"/>
      <c r="DS176" s="7"/>
      <c r="DT176" s="7"/>
      <c r="DU176" s="15"/>
      <c r="DV176" s="15"/>
      <c r="DW176" s="15"/>
      <c r="DX176" s="15"/>
      <c r="DY176" s="7"/>
      <c r="DZ176" s="27"/>
      <c r="EA176" s="319"/>
    </row>
    <row r="177" spans="1:131" s="10" customFormat="1" x14ac:dyDescent="0.25">
      <c r="A177" s="24" t="s">
        <v>84</v>
      </c>
      <c r="B177" s="24"/>
      <c r="C177" s="24" t="s">
        <v>636</v>
      </c>
      <c r="D177" s="24"/>
      <c r="E177" s="3">
        <v>725010</v>
      </c>
      <c r="F177" s="353">
        <v>6</v>
      </c>
      <c r="G177" s="359" t="s">
        <v>187</v>
      </c>
      <c r="H177" s="353">
        <v>1521</v>
      </c>
      <c r="I177" s="9" t="s">
        <v>32</v>
      </c>
      <c r="J177" s="10" t="s">
        <v>32</v>
      </c>
      <c r="K177" s="3"/>
      <c r="L177" s="11"/>
      <c r="M177" s="45"/>
      <c r="N177" s="11" t="s">
        <v>186</v>
      </c>
      <c r="O177" s="11" t="s">
        <v>192</v>
      </c>
      <c r="P177" s="3" t="s">
        <v>187</v>
      </c>
      <c r="Q177" s="3" t="s">
        <v>187</v>
      </c>
      <c r="R177" s="3">
        <v>250</v>
      </c>
      <c r="S177" s="3" t="s">
        <v>259</v>
      </c>
      <c r="T177" s="12" t="s">
        <v>46</v>
      </c>
      <c r="U177" s="12" t="s">
        <v>222</v>
      </c>
      <c r="V177" s="12"/>
      <c r="W177" s="12" t="s">
        <v>2</v>
      </c>
      <c r="X177" s="12"/>
      <c r="Y177" s="25"/>
      <c r="Z177" s="25" t="s">
        <v>92</v>
      </c>
      <c r="AA177" s="10" t="s">
        <v>738</v>
      </c>
      <c r="AB177" s="12" t="s">
        <v>697</v>
      </c>
      <c r="AC177" s="7"/>
      <c r="AD177" s="7"/>
      <c r="AE177" s="7"/>
      <c r="AF177" s="7"/>
      <c r="AG177" s="7"/>
      <c r="AH177" s="33"/>
      <c r="AI177" s="7"/>
      <c r="AJ177" s="409"/>
      <c r="AK177" s="27"/>
      <c r="AL177" s="36">
        <v>532200</v>
      </c>
      <c r="AM177" s="33">
        <f t="shared" si="143"/>
        <v>532200</v>
      </c>
      <c r="AN177" s="36"/>
      <c r="AO177" s="36"/>
      <c r="AP177" s="7">
        <f t="shared" si="132"/>
        <v>0</v>
      </c>
      <c r="AQ177" s="36"/>
      <c r="AR177" s="36"/>
      <c r="AS177" s="7">
        <f t="shared" si="148"/>
        <v>0</v>
      </c>
      <c r="AT177" s="36"/>
      <c r="AU177" s="36"/>
      <c r="AV177" s="7">
        <f t="shared" si="149"/>
        <v>0</v>
      </c>
      <c r="AW177" s="7"/>
      <c r="AX177" s="7"/>
      <c r="AY177" s="7">
        <f t="shared" si="199"/>
        <v>0</v>
      </c>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f t="shared" si="205"/>
        <v>0</v>
      </c>
      <c r="BZ177" s="7">
        <f t="shared" si="206"/>
        <v>0</v>
      </c>
      <c r="CA177" s="7"/>
      <c r="CB177" s="7">
        <f t="shared" si="207"/>
        <v>532200</v>
      </c>
      <c r="CC177" s="7">
        <f t="shared" si="208"/>
        <v>532200</v>
      </c>
      <c r="CD177" s="15">
        <f t="shared" si="209"/>
        <v>0</v>
      </c>
      <c r="CE177" s="15">
        <f t="shared" si="210"/>
        <v>0</v>
      </c>
      <c r="CF177" s="451" t="s">
        <v>850</v>
      </c>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14"/>
      <c r="DQ177" s="14"/>
      <c r="DR177" s="7"/>
      <c r="DS177" s="7"/>
      <c r="DT177" s="7"/>
      <c r="DU177" s="15"/>
      <c r="DV177" s="15"/>
      <c r="DW177" s="15"/>
      <c r="DX177" s="15"/>
      <c r="DY177" s="7"/>
      <c r="DZ177" s="27"/>
      <c r="EA177" s="319"/>
    </row>
    <row r="178" spans="1:131" s="10" customFormat="1" x14ac:dyDescent="0.25">
      <c r="A178" s="24" t="s">
        <v>84</v>
      </c>
      <c r="B178" s="24"/>
      <c r="C178" s="24" t="s">
        <v>636</v>
      </c>
      <c r="D178" s="24"/>
      <c r="E178" s="3">
        <v>725010</v>
      </c>
      <c r="F178" s="353">
        <v>6</v>
      </c>
      <c r="G178" s="359" t="s">
        <v>187</v>
      </c>
      <c r="H178" s="353">
        <v>1522</v>
      </c>
      <c r="I178" s="9" t="s">
        <v>32</v>
      </c>
      <c r="J178" s="10" t="s">
        <v>32</v>
      </c>
      <c r="K178" s="3"/>
      <c r="L178" s="11"/>
      <c r="M178" s="45"/>
      <c r="N178" s="11" t="s">
        <v>186</v>
      </c>
      <c r="O178" s="11" t="s">
        <v>192</v>
      </c>
      <c r="P178" s="3" t="s">
        <v>187</v>
      </c>
      <c r="Q178" s="3" t="s">
        <v>187</v>
      </c>
      <c r="R178" s="3">
        <v>250</v>
      </c>
      <c r="S178" s="3" t="s">
        <v>259</v>
      </c>
      <c r="T178" s="12" t="s">
        <v>46</v>
      </c>
      <c r="U178" s="12" t="s">
        <v>222</v>
      </c>
      <c r="V178" s="12"/>
      <c r="W178" s="12" t="s">
        <v>2</v>
      </c>
      <c r="X178" s="8"/>
      <c r="Y178" s="25"/>
      <c r="Z178" s="349" t="s">
        <v>92</v>
      </c>
      <c r="AA178" s="10" t="s">
        <v>739</v>
      </c>
      <c r="AB178" s="12" t="s">
        <v>697</v>
      </c>
      <c r="AC178" s="27"/>
      <c r="AD178" s="27"/>
      <c r="AE178" s="7"/>
      <c r="AF178" s="7"/>
      <c r="AG178" s="7"/>
      <c r="AH178" s="33"/>
      <c r="AI178" s="7"/>
      <c r="AJ178" s="409"/>
      <c r="AK178" s="27"/>
      <c r="AL178" s="36">
        <v>80000</v>
      </c>
      <c r="AM178" s="33">
        <f t="shared" si="143"/>
        <v>80000</v>
      </c>
      <c r="AN178" s="36"/>
      <c r="AO178" s="36"/>
      <c r="AP178" s="7">
        <f t="shared" si="132"/>
        <v>0</v>
      </c>
      <c r="AQ178" s="36"/>
      <c r="AR178" s="36"/>
      <c r="AS178" s="7">
        <f t="shared" si="148"/>
        <v>0</v>
      </c>
      <c r="AT178" s="36">
        <v>79776.800000000003</v>
      </c>
      <c r="AU178" s="36"/>
      <c r="AV178" s="7">
        <f t="shared" si="149"/>
        <v>79776.800000000003</v>
      </c>
      <c r="AW178" s="7"/>
      <c r="AX178" s="7"/>
      <c r="AY178" s="7">
        <f t="shared" si="199"/>
        <v>0</v>
      </c>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f t="shared" si="205"/>
        <v>79776.800000000003</v>
      </c>
      <c r="BZ178" s="7">
        <f t="shared" si="206"/>
        <v>79776.800000000003</v>
      </c>
      <c r="CA178" s="7"/>
      <c r="CB178" s="7">
        <f t="shared" si="207"/>
        <v>223.19999999999709</v>
      </c>
      <c r="CC178" s="7">
        <f t="shared" si="208"/>
        <v>223.19999999999709</v>
      </c>
      <c r="CD178" s="15">
        <f t="shared" si="209"/>
        <v>0.99721000000000004</v>
      </c>
      <c r="CE178" s="15">
        <f t="shared" si="210"/>
        <v>0.99721000000000004</v>
      </c>
      <c r="CF178" s="451" t="s">
        <v>783</v>
      </c>
      <c r="CG178" s="27"/>
      <c r="CH178" s="7"/>
      <c r="CI178" s="7"/>
      <c r="CJ178" s="7"/>
      <c r="CK178" s="27"/>
      <c r="CL178" s="7"/>
      <c r="CM178" s="27"/>
      <c r="CN178" s="7"/>
      <c r="CO178" s="27"/>
      <c r="CP178" s="27"/>
      <c r="CQ178" s="7"/>
      <c r="CR178" s="7"/>
      <c r="CS178" s="7"/>
      <c r="CT178" s="27"/>
      <c r="CU178" s="27"/>
      <c r="CV178" s="7"/>
      <c r="CW178" s="27"/>
      <c r="CX178" s="27"/>
      <c r="CY178" s="7"/>
      <c r="CZ178" s="27"/>
      <c r="DA178" s="27"/>
      <c r="DB178" s="7"/>
      <c r="DC178" s="27"/>
      <c r="DD178" s="7"/>
      <c r="DE178" s="27"/>
      <c r="DF178" s="7"/>
      <c r="DG178" s="27"/>
      <c r="DH178" s="7"/>
      <c r="DI178" s="27"/>
      <c r="DJ178" s="7"/>
      <c r="DK178" s="27"/>
      <c r="DL178" s="7"/>
      <c r="DM178" s="27"/>
      <c r="DN178" s="7"/>
      <c r="DO178" s="27"/>
      <c r="DP178" s="14"/>
      <c r="DQ178" s="14"/>
      <c r="DR178" s="7"/>
      <c r="DS178" s="7"/>
      <c r="DT178" s="7"/>
      <c r="DU178" s="15"/>
      <c r="DV178" s="15"/>
      <c r="DW178" s="15"/>
      <c r="DX178" s="15"/>
      <c r="DY178" s="7"/>
      <c r="DZ178" s="27"/>
      <c r="EA178" s="319"/>
    </row>
    <row r="179" spans="1:131" s="10" customFormat="1" x14ac:dyDescent="0.25">
      <c r="A179" s="24" t="s">
        <v>84</v>
      </c>
      <c r="B179" s="24"/>
      <c r="C179" s="24" t="s">
        <v>637</v>
      </c>
      <c r="E179" s="3">
        <v>725015</v>
      </c>
      <c r="F179" s="353">
        <v>4</v>
      </c>
      <c r="G179" s="359" t="s">
        <v>187</v>
      </c>
      <c r="H179" s="353">
        <v>1534</v>
      </c>
      <c r="I179" s="9" t="s">
        <v>32</v>
      </c>
      <c r="J179" s="10" t="s">
        <v>32</v>
      </c>
      <c r="K179" s="3"/>
      <c r="L179" s="11"/>
      <c r="M179" s="45"/>
      <c r="N179" s="11" t="s">
        <v>186</v>
      </c>
      <c r="O179" s="11" t="s">
        <v>192</v>
      </c>
      <c r="P179" s="3" t="s">
        <v>187</v>
      </c>
      <c r="Q179" s="3" t="s">
        <v>187</v>
      </c>
      <c r="R179" s="3">
        <v>260</v>
      </c>
      <c r="S179" s="11" t="s">
        <v>188</v>
      </c>
      <c r="T179" s="12" t="s">
        <v>260</v>
      </c>
      <c r="U179" s="12" t="s">
        <v>222</v>
      </c>
      <c r="V179" s="12"/>
      <c r="W179" s="12" t="s">
        <v>2</v>
      </c>
      <c r="X179" s="8"/>
      <c r="Y179" s="25"/>
      <c r="Z179" s="349" t="s">
        <v>92</v>
      </c>
      <c r="AA179" s="10" t="s">
        <v>105</v>
      </c>
      <c r="AB179" s="12" t="s">
        <v>8</v>
      </c>
      <c r="AC179" s="27"/>
      <c r="AD179" s="27"/>
      <c r="AE179" s="7"/>
      <c r="AF179" s="7"/>
      <c r="AG179" s="7"/>
      <c r="AH179" s="33"/>
      <c r="AI179" s="7"/>
      <c r="AJ179" s="409"/>
      <c r="AK179" s="27">
        <v>2000000</v>
      </c>
      <c r="AL179" s="36"/>
      <c r="AM179" s="33">
        <f t="shared" si="143"/>
        <v>2000000</v>
      </c>
      <c r="AN179" s="36"/>
      <c r="AO179" s="36"/>
      <c r="AP179" s="7">
        <f t="shared" si="132"/>
        <v>0</v>
      </c>
      <c r="AQ179" s="36">
        <v>761505.76</v>
      </c>
      <c r="AR179" s="36"/>
      <c r="AS179" s="7">
        <f t="shared" si="148"/>
        <v>761505.76</v>
      </c>
      <c r="AT179" s="36">
        <v>-761455.82</v>
      </c>
      <c r="AU179" s="36"/>
      <c r="AV179" s="7">
        <f t="shared" si="149"/>
        <v>-761455.82</v>
      </c>
      <c r="AW179" s="7"/>
      <c r="AX179" s="7"/>
      <c r="AY179" s="7">
        <f t="shared" si="199"/>
        <v>0</v>
      </c>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v>178041.42</v>
      </c>
      <c r="BY179" s="7">
        <f t="shared" si="205"/>
        <v>49.940000000060536</v>
      </c>
      <c r="BZ179" s="7">
        <f t="shared" si="206"/>
        <v>49.940000000060536</v>
      </c>
      <c r="CA179" s="7"/>
      <c r="CB179" s="7">
        <f t="shared" si="207"/>
        <v>1999950.06</v>
      </c>
      <c r="CC179" s="7">
        <f t="shared" si="208"/>
        <v>1999950.06</v>
      </c>
      <c r="CD179" s="15">
        <f t="shared" si="209"/>
        <v>2.4970000000030269E-5</v>
      </c>
      <c r="CE179" s="15">
        <f t="shared" si="210"/>
        <v>2.4970000000030269E-5</v>
      </c>
      <c r="CF179" s="451" t="s">
        <v>850</v>
      </c>
      <c r="CG179" s="27"/>
      <c r="CH179" s="7"/>
      <c r="CI179" s="7"/>
      <c r="CJ179" s="7"/>
      <c r="CK179" s="27"/>
      <c r="CL179" s="7"/>
      <c r="CM179" s="27"/>
      <c r="CN179" s="7"/>
      <c r="CO179" s="27"/>
      <c r="CP179" s="27"/>
      <c r="CQ179" s="7"/>
      <c r="CR179" s="7"/>
      <c r="CS179" s="7"/>
      <c r="CT179" s="27"/>
      <c r="CU179" s="27"/>
      <c r="CV179" s="7"/>
      <c r="CW179" s="27"/>
      <c r="CX179" s="27"/>
      <c r="CY179" s="7"/>
      <c r="CZ179" s="27"/>
      <c r="DA179" s="27"/>
      <c r="DB179" s="7"/>
      <c r="DC179" s="27"/>
      <c r="DD179" s="7"/>
      <c r="DE179" s="27"/>
      <c r="DF179" s="7"/>
      <c r="DG179" s="27"/>
      <c r="DH179" s="7"/>
      <c r="DI179" s="27"/>
      <c r="DJ179" s="7"/>
      <c r="DK179" s="27"/>
      <c r="DL179" s="7"/>
      <c r="DM179" s="27"/>
      <c r="DN179" s="7"/>
      <c r="DO179" s="27"/>
      <c r="DP179" s="14"/>
      <c r="DQ179" s="14"/>
      <c r="DR179" s="7"/>
      <c r="DS179" s="7"/>
      <c r="DT179" s="7"/>
      <c r="DU179" s="15"/>
      <c r="DV179" s="15"/>
      <c r="DW179" s="15"/>
      <c r="DX179" s="15"/>
      <c r="DY179" s="7"/>
      <c r="DZ179" s="27"/>
      <c r="EA179" s="319"/>
    </row>
    <row r="180" spans="1:131" s="10" customFormat="1" ht="45.75" x14ac:dyDescent="0.25">
      <c r="A180" s="24" t="s">
        <v>84</v>
      </c>
      <c r="B180" s="24"/>
      <c r="C180" s="24" t="s">
        <v>637</v>
      </c>
      <c r="E180" s="3">
        <v>725015</v>
      </c>
      <c r="F180" s="353">
        <v>6</v>
      </c>
      <c r="G180" s="359" t="s">
        <v>187</v>
      </c>
      <c r="H180" s="353">
        <v>1516</v>
      </c>
      <c r="I180" s="9" t="s">
        <v>32</v>
      </c>
      <c r="J180" s="10" t="s">
        <v>32</v>
      </c>
      <c r="K180" s="3"/>
      <c r="L180" s="11"/>
      <c r="M180" s="45"/>
      <c r="N180" s="11" t="s">
        <v>186</v>
      </c>
      <c r="O180" s="11" t="s">
        <v>192</v>
      </c>
      <c r="P180" s="3" t="s">
        <v>187</v>
      </c>
      <c r="Q180" s="3" t="s">
        <v>187</v>
      </c>
      <c r="R180" s="3">
        <v>271</v>
      </c>
      <c r="S180" s="3" t="s">
        <v>259</v>
      </c>
      <c r="T180" s="12" t="s">
        <v>260</v>
      </c>
      <c r="U180" s="12" t="s">
        <v>222</v>
      </c>
      <c r="V180" s="12"/>
      <c r="W180" s="12" t="s">
        <v>2</v>
      </c>
      <c r="X180" s="8"/>
      <c r="Y180" s="25"/>
      <c r="Z180" s="349" t="s">
        <v>92</v>
      </c>
      <c r="AA180" s="10" t="s">
        <v>718</v>
      </c>
      <c r="AB180" s="12" t="s">
        <v>697</v>
      </c>
      <c r="AC180" s="27"/>
      <c r="AD180" s="27"/>
      <c r="AE180" s="7"/>
      <c r="AF180" s="7"/>
      <c r="AG180" s="7"/>
      <c r="AH180" s="33"/>
      <c r="AI180" s="7"/>
      <c r="AJ180" s="409"/>
      <c r="AK180" s="27"/>
      <c r="AL180" s="36">
        <v>1196101</v>
      </c>
      <c r="AM180" s="33">
        <f t="shared" si="143"/>
        <v>1196101</v>
      </c>
      <c r="AN180" s="36"/>
      <c r="AO180" s="36"/>
      <c r="AP180" s="7">
        <f t="shared" si="132"/>
        <v>0</v>
      </c>
      <c r="AQ180" s="36"/>
      <c r="AR180" s="36"/>
      <c r="AS180" s="7">
        <f t="shared" si="148"/>
        <v>0</v>
      </c>
      <c r="AT180" s="36">
        <v>316911.21999999997</v>
      </c>
      <c r="AU180" s="36"/>
      <c r="AV180" s="7">
        <f t="shared" si="149"/>
        <v>316911.21999999997</v>
      </c>
      <c r="AW180" s="7">
        <v>177174.39</v>
      </c>
      <c r="AX180" s="7"/>
      <c r="AY180" s="7">
        <f t="shared" si="199"/>
        <v>177174.39</v>
      </c>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f t="shared" si="205"/>
        <v>494085.61</v>
      </c>
      <c r="BZ180" s="7">
        <f t="shared" si="206"/>
        <v>494085.61</v>
      </c>
      <c r="CA180" s="7"/>
      <c r="CB180" s="7">
        <f t="shared" si="207"/>
        <v>702015.39</v>
      </c>
      <c r="CC180" s="7">
        <f t="shared" si="208"/>
        <v>702015.39</v>
      </c>
      <c r="CD180" s="15">
        <f t="shared" si="209"/>
        <v>0.41308017466752389</v>
      </c>
      <c r="CE180" s="15">
        <f t="shared" si="210"/>
        <v>0.41308017466752389</v>
      </c>
      <c r="CF180" s="451" t="s">
        <v>807</v>
      </c>
      <c r="CG180" s="27"/>
      <c r="CH180" s="7"/>
      <c r="CI180" s="7"/>
      <c r="CJ180" s="7"/>
      <c r="CK180" s="27"/>
      <c r="CL180" s="7"/>
      <c r="CM180" s="27"/>
      <c r="CN180" s="7"/>
      <c r="CO180" s="27"/>
      <c r="CP180" s="27"/>
      <c r="CQ180" s="7"/>
      <c r="CR180" s="7"/>
      <c r="CS180" s="7"/>
      <c r="CT180" s="27"/>
      <c r="CU180" s="27"/>
      <c r="CV180" s="7"/>
      <c r="CW180" s="27"/>
      <c r="CX180" s="27"/>
      <c r="CY180" s="7"/>
      <c r="CZ180" s="27"/>
      <c r="DA180" s="27"/>
      <c r="DB180" s="7"/>
      <c r="DC180" s="27"/>
      <c r="DD180" s="7"/>
      <c r="DE180" s="27"/>
      <c r="DF180" s="7"/>
      <c r="DG180" s="27"/>
      <c r="DH180" s="7"/>
      <c r="DI180" s="27"/>
      <c r="DJ180" s="7"/>
      <c r="DK180" s="27"/>
      <c r="DL180" s="7"/>
      <c r="DM180" s="27"/>
      <c r="DN180" s="7"/>
      <c r="DO180" s="27"/>
      <c r="DP180" s="14"/>
      <c r="DQ180" s="14"/>
      <c r="DR180" s="7"/>
      <c r="DS180" s="7"/>
      <c r="DT180" s="7"/>
      <c r="DU180" s="15"/>
      <c r="DV180" s="15"/>
      <c r="DW180" s="15"/>
      <c r="DX180" s="15"/>
      <c r="DY180" s="7"/>
      <c r="DZ180" s="27"/>
      <c r="EA180" s="319"/>
    </row>
    <row r="181" spans="1:131" s="10" customFormat="1" x14ac:dyDescent="0.25">
      <c r="A181" s="24" t="s">
        <v>84</v>
      </c>
      <c r="B181" s="24" t="s">
        <v>141</v>
      </c>
      <c r="C181" s="24" t="s">
        <v>637</v>
      </c>
      <c r="E181" s="3">
        <v>725015</v>
      </c>
      <c r="F181" s="353">
        <v>4</v>
      </c>
      <c r="G181" s="359" t="s">
        <v>187</v>
      </c>
      <c r="H181" s="353">
        <v>1535</v>
      </c>
      <c r="I181" s="9" t="s">
        <v>32</v>
      </c>
      <c r="J181" s="10" t="s">
        <v>32</v>
      </c>
      <c r="K181" s="3">
        <v>4</v>
      </c>
      <c r="L181" s="11" t="s">
        <v>187</v>
      </c>
      <c r="M181" s="45"/>
      <c r="N181" s="11" t="s">
        <v>186</v>
      </c>
      <c r="O181" s="11" t="s">
        <v>192</v>
      </c>
      <c r="P181" s="11" t="s">
        <v>187</v>
      </c>
      <c r="Q181" s="3" t="s">
        <v>187</v>
      </c>
      <c r="R181" s="3">
        <v>250</v>
      </c>
      <c r="S181" s="3" t="s">
        <v>188</v>
      </c>
      <c r="T181" s="12" t="s">
        <v>46</v>
      </c>
      <c r="U181" s="12" t="s">
        <v>222</v>
      </c>
      <c r="V181" s="12"/>
      <c r="W181" s="12" t="s">
        <v>2</v>
      </c>
      <c r="X181" s="8" t="s">
        <v>52</v>
      </c>
      <c r="Y181" s="25" t="s">
        <v>69</v>
      </c>
      <c r="Z181" s="349" t="s">
        <v>94</v>
      </c>
      <c r="AA181" s="10" t="s">
        <v>128</v>
      </c>
      <c r="AB181" s="12" t="s">
        <v>8</v>
      </c>
      <c r="AC181" s="27">
        <v>50000</v>
      </c>
      <c r="AD181" s="27"/>
      <c r="AE181" s="7">
        <f>AC181+AD181</f>
        <v>50000</v>
      </c>
      <c r="AF181" s="7"/>
      <c r="AG181" s="7">
        <f t="shared" si="150"/>
        <v>50000</v>
      </c>
      <c r="AH181" s="33"/>
      <c r="AI181" s="7">
        <f t="shared" si="151"/>
        <v>50000</v>
      </c>
      <c r="AJ181" s="409"/>
      <c r="AK181" s="27">
        <v>100000</v>
      </c>
      <c r="AL181" s="36"/>
      <c r="AM181" s="33">
        <f t="shared" si="143"/>
        <v>100000</v>
      </c>
      <c r="AN181" s="36">
        <v>0</v>
      </c>
      <c r="AO181" s="36">
        <v>0</v>
      </c>
      <c r="AP181" s="7">
        <f t="shared" si="132"/>
        <v>0</v>
      </c>
      <c r="AQ181" s="36"/>
      <c r="AR181" s="36"/>
      <c r="AS181" s="7">
        <f t="shared" si="148"/>
        <v>0</v>
      </c>
      <c r="AT181" s="36"/>
      <c r="AU181" s="36"/>
      <c r="AV181" s="7">
        <f t="shared" si="149"/>
        <v>0</v>
      </c>
      <c r="AW181" s="7"/>
      <c r="AX181" s="7"/>
      <c r="AY181" s="7">
        <f t="shared" si="199"/>
        <v>0</v>
      </c>
      <c r="AZ181" s="7"/>
      <c r="BA181" s="7"/>
      <c r="BB181" s="7">
        <f t="shared" si="135"/>
        <v>0</v>
      </c>
      <c r="BC181" s="7"/>
      <c r="BD181" s="7"/>
      <c r="BE181" s="7">
        <f t="shared" si="136"/>
        <v>0</v>
      </c>
      <c r="BF181" s="7"/>
      <c r="BG181" s="7"/>
      <c r="BH181" s="7">
        <f t="shared" si="137"/>
        <v>0</v>
      </c>
      <c r="BI181" s="7"/>
      <c r="BJ181" s="7"/>
      <c r="BK181" s="7">
        <f t="shared" si="138"/>
        <v>0</v>
      </c>
      <c r="BL181" s="7"/>
      <c r="BM181" s="7"/>
      <c r="BN181" s="7">
        <f t="shared" si="139"/>
        <v>0</v>
      </c>
      <c r="BO181" s="7"/>
      <c r="BP181" s="7"/>
      <c r="BQ181" s="7">
        <f t="shared" si="140"/>
        <v>0</v>
      </c>
      <c r="BR181" s="7"/>
      <c r="BS181" s="7"/>
      <c r="BT181" s="7">
        <f t="shared" si="141"/>
        <v>0</v>
      </c>
      <c r="BU181" s="7"/>
      <c r="BV181" s="7"/>
      <c r="BW181" s="7">
        <f t="shared" si="142"/>
        <v>0</v>
      </c>
      <c r="BX181" s="7">
        <v>86850</v>
      </c>
      <c r="BY181" s="7">
        <f t="shared" si="205"/>
        <v>0</v>
      </c>
      <c r="BZ181" s="7">
        <f t="shared" si="206"/>
        <v>0</v>
      </c>
      <c r="CA181" s="7"/>
      <c r="CB181" s="7">
        <f t="shared" si="207"/>
        <v>100000</v>
      </c>
      <c r="CC181" s="7">
        <f t="shared" si="208"/>
        <v>100000</v>
      </c>
      <c r="CD181" s="15">
        <f t="shared" si="209"/>
        <v>0</v>
      </c>
      <c r="CE181" s="15">
        <f t="shared" si="210"/>
        <v>0</v>
      </c>
      <c r="CF181" s="451" t="s">
        <v>849</v>
      </c>
      <c r="CG181" s="27">
        <v>0</v>
      </c>
      <c r="CH181" s="7">
        <v>200000</v>
      </c>
      <c r="CI181" s="7"/>
      <c r="CJ181" s="7"/>
      <c r="CK181" s="27"/>
      <c r="CL181" s="7">
        <f>CK181</f>
        <v>0</v>
      </c>
      <c r="CM181" s="7"/>
      <c r="CN181" s="7">
        <f>CM181</f>
        <v>0</v>
      </c>
      <c r="CO181" s="27"/>
      <c r="CP181" s="27"/>
      <c r="CQ181" s="7">
        <f>CO181+CP181</f>
        <v>0</v>
      </c>
      <c r="CR181" s="7">
        <f>CK181+CM181+CO181</f>
        <v>0</v>
      </c>
      <c r="CS181" s="7">
        <f>CL181+CN181+CQ181</f>
        <v>0</v>
      </c>
      <c r="CT181" s="27"/>
      <c r="CU181" s="27"/>
      <c r="CV181" s="7">
        <f>CT181+CU181</f>
        <v>0</v>
      </c>
      <c r="CW181" s="27">
        <v>43280</v>
      </c>
      <c r="CX181" s="27"/>
      <c r="CY181" s="7">
        <f>CW181+CX181</f>
        <v>43280</v>
      </c>
      <c r="CZ181" s="27"/>
      <c r="DA181" s="27"/>
      <c r="DB181" s="7">
        <f>CZ181+DA181</f>
        <v>0</v>
      </c>
      <c r="DC181" s="27"/>
      <c r="DD181" s="7">
        <f>DC181</f>
        <v>0</v>
      </c>
      <c r="DE181" s="27"/>
      <c r="DF181" s="7">
        <f>DE181</f>
        <v>0</v>
      </c>
      <c r="DG181" s="27"/>
      <c r="DH181" s="7">
        <f>DG181</f>
        <v>0</v>
      </c>
      <c r="DI181" s="27"/>
      <c r="DJ181" s="7">
        <f>DI181</f>
        <v>0</v>
      </c>
      <c r="DK181" s="27"/>
      <c r="DL181" s="7">
        <f>DK181</f>
        <v>0</v>
      </c>
      <c r="DM181" s="27"/>
      <c r="DN181" s="7">
        <f>DM181</f>
        <v>0</v>
      </c>
      <c r="DO181" s="27"/>
      <c r="DP181" s="14">
        <f>CK181+CM181+CO181+CT181+CW181+CZ181+DC181+DE181+DG181+DI181+DK181+DM181</f>
        <v>43280</v>
      </c>
      <c r="DQ181" s="14">
        <f>CL181+CN181+CQ181+CV181+CY181+DB181</f>
        <v>43280</v>
      </c>
      <c r="DR181" s="7"/>
      <c r="DS181" s="7">
        <f>AG181-DP181</f>
        <v>6720</v>
      </c>
      <c r="DT181" s="7">
        <f>AG181-DQ181</f>
        <v>6720</v>
      </c>
      <c r="DU181" s="15">
        <f>DP181/AG181</f>
        <v>0.86560000000000004</v>
      </c>
      <c r="DV181" s="15">
        <f>DQ181/AG181</f>
        <v>0.86560000000000004</v>
      </c>
      <c r="DW181" s="15"/>
      <c r="DX181" s="15"/>
      <c r="DY181" s="7"/>
      <c r="DZ181" s="27"/>
      <c r="EA181" s="319"/>
    </row>
    <row r="182" spans="1:131" s="10" customFormat="1" x14ac:dyDescent="0.25">
      <c r="A182" s="24" t="s">
        <v>84</v>
      </c>
      <c r="B182" s="24" t="s">
        <v>141</v>
      </c>
      <c r="C182" s="24" t="s">
        <v>238</v>
      </c>
      <c r="E182" s="3">
        <v>725015</v>
      </c>
      <c r="F182" s="353">
        <v>4</v>
      </c>
      <c r="G182" s="359" t="s">
        <v>187</v>
      </c>
      <c r="H182" s="353">
        <v>1557</v>
      </c>
      <c r="I182" s="9" t="s">
        <v>32</v>
      </c>
      <c r="J182" s="10" t="s">
        <v>32</v>
      </c>
      <c r="K182" s="3">
        <v>4</v>
      </c>
      <c r="L182" s="11" t="s">
        <v>187</v>
      </c>
      <c r="M182" s="45"/>
      <c r="N182" s="11" t="s">
        <v>186</v>
      </c>
      <c r="O182" s="11" t="s">
        <v>192</v>
      </c>
      <c r="P182" s="11" t="s">
        <v>187</v>
      </c>
      <c r="Q182" s="3" t="s">
        <v>187</v>
      </c>
      <c r="R182" s="3">
        <v>270</v>
      </c>
      <c r="S182" s="3" t="s">
        <v>188</v>
      </c>
      <c r="T182" s="12" t="s">
        <v>26</v>
      </c>
      <c r="U182" s="12" t="s">
        <v>222</v>
      </c>
      <c r="V182" s="12"/>
      <c r="W182" s="12" t="s">
        <v>2</v>
      </c>
      <c r="X182" s="8"/>
      <c r="Y182" s="25" t="s">
        <v>69</v>
      </c>
      <c r="Z182" s="349" t="s">
        <v>94</v>
      </c>
      <c r="AA182" s="10" t="s">
        <v>663</v>
      </c>
      <c r="AB182" s="12" t="s">
        <v>8</v>
      </c>
      <c r="AC182" s="27"/>
      <c r="AD182" s="27"/>
      <c r="AE182" s="7"/>
      <c r="AF182" s="7"/>
      <c r="AG182" s="7">
        <f t="shared" si="150"/>
        <v>0</v>
      </c>
      <c r="AH182" s="33"/>
      <c r="AI182" s="7">
        <f t="shared" si="151"/>
        <v>0</v>
      </c>
      <c r="AJ182" s="409"/>
      <c r="AK182" s="27">
        <v>14110</v>
      </c>
      <c r="AL182" s="36"/>
      <c r="AM182" s="33">
        <f t="shared" si="143"/>
        <v>14110</v>
      </c>
      <c r="AN182" s="36">
        <v>0</v>
      </c>
      <c r="AO182" s="36">
        <v>0</v>
      </c>
      <c r="AP182" s="7">
        <f t="shared" si="132"/>
        <v>0</v>
      </c>
      <c r="AQ182" s="36"/>
      <c r="AR182" s="36"/>
      <c r="AS182" s="7">
        <f t="shared" si="148"/>
        <v>0</v>
      </c>
      <c r="AT182" s="36"/>
      <c r="AU182" s="36"/>
      <c r="AV182" s="7">
        <f t="shared" si="149"/>
        <v>0</v>
      </c>
      <c r="AW182" s="7"/>
      <c r="AX182" s="7"/>
      <c r="AY182" s="7">
        <f t="shared" si="199"/>
        <v>0</v>
      </c>
      <c r="AZ182" s="7"/>
      <c r="BA182" s="7"/>
      <c r="BB182" s="7">
        <f t="shared" si="135"/>
        <v>0</v>
      </c>
      <c r="BC182" s="7"/>
      <c r="BD182" s="7"/>
      <c r="BE182" s="7">
        <f t="shared" si="136"/>
        <v>0</v>
      </c>
      <c r="BF182" s="7"/>
      <c r="BG182" s="7"/>
      <c r="BH182" s="7">
        <f t="shared" si="137"/>
        <v>0</v>
      </c>
      <c r="BI182" s="7"/>
      <c r="BJ182" s="7"/>
      <c r="BK182" s="7">
        <f t="shared" si="138"/>
        <v>0</v>
      </c>
      <c r="BL182" s="7"/>
      <c r="BM182" s="7"/>
      <c r="BN182" s="7">
        <f t="shared" si="139"/>
        <v>0</v>
      </c>
      <c r="BO182" s="7"/>
      <c r="BP182" s="7"/>
      <c r="BQ182" s="7">
        <f t="shared" si="140"/>
        <v>0</v>
      </c>
      <c r="BR182" s="7"/>
      <c r="BS182" s="7"/>
      <c r="BT182" s="7">
        <f t="shared" si="141"/>
        <v>0</v>
      </c>
      <c r="BU182" s="7"/>
      <c r="BV182" s="7"/>
      <c r="BW182" s="7">
        <f t="shared" si="142"/>
        <v>0</v>
      </c>
      <c r="BX182" s="7"/>
      <c r="BY182" s="7">
        <f t="shared" si="205"/>
        <v>0</v>
      </c>
      <c r="BZ182" s="7">
        <f t="shared" si="206"/>
        <v>0</v>
      </c>
      <c r="CA182" s="7"/>
      <c r="CB182" s="7">
        <f t="shared" si="207"/>
        <v>14110</v>
      </c>
      <c r="CC182" s="7">
        <f t="shared" si="208"/>
        <v>14110</v>
      </c>
      <c r="CD182" s="15">
        <f t="shared" si="209"/>
        <v>0</v>
      </c>
      <c r="CE182" s="15">
        <f t="shared" si="210"/>
        <v>0</v>
      </c>
      <c r="CF182" s="451" t="s">
        <v>782</v>
      </c>
      <c r="CG182" s="27"/>
      <c r="CH182" s="7"/>
      <c r="CI182" s="7"/>
      <c r="CJ182" s="7"/>
      <c r="CK182" s="27"/>
      <c r="CL182" s="7"/>
      <c r="CM182" s="7"/>
      <c r="CN182" s="7"/>
      <c r="CO182" s="27"/>
      <c r="CP182" s="27"/>
      <c r="CQ182" s="7"/>
      <c r="CR182" s="7"/>
      <c r="CS182" s="7"/>
      <c r="CT182" s="27"/>
      <c r="CU182" s="27"/>
      <c r="CV182" s="7"/>
      <c r="CW182" s="27"/>
      <c r="CX182" s="27"/>
      <c r="CY182" s="7"/>
      <c r="CZ182" s="27"/>
      <c r="DA182" s="27"/>
      <c r="DB182" s="7"/>
      <c r="DC182" s="27"/>
      <c r="DD182" s="7"/>
      <c r="DE182" s="27"/>
      <c r="DF182" s="7"/>
      <c r="DG182" s="27"/>
      <c r="DH182" s="7"/>
      <c r="DI182" s="27"/>
      <c r="DJ182" s="7"/>
      <c r="DK182" s="27"/>
      <c r="DL182" s="7"/>
      <c r="DM182" s="27"/>
      <c r="DN182" s="7"/>
      <c r="DO182" s="27"/>
      <c r="DP182" s="14"/>
      <c r="DQ182" s="14"/>
      <c r="DR182" s="7"/>
      <c r="DS182" s="7"/>
      <c r="DT182" s="7"/>
      <c r="DU182" s="15"/>
      <c r="DV182" s="15"/>
      <c r="DW182" s="15"/>
      <c r="DX182" s="15"/>
      <c r="DY182" s="7"/>
      <c r="DZ182" s="27"/>
      <c r="EA182" s="319"/>
    </row>
    <row r="183" spans="1:131" s="10" customFormat="1" x14ac:dyDescent="0.25">
      <c r="A183" s="24" t="s">
        <v>84</v>
      </c>
      <c r="B183" s="24"/>
      <c r="C183" s="24" t="s">
        <v>637</v>
      </c>
      <c r="E183" s="3">
        <v>725015</v>
      </c>
      <c r="F183" s="353">
        <v>6</v>
      </c>
      <c r="G183" s="359" t="s">
        <v>187</v>
      </c>
      <c r="H183" s="353">
        <v>1520</v>
      </c>
      <c r="I183" s="9" t="s">
        <v>32</v>
      </c>
      <c r="J183" s="10" t="s">
        <v>32</v>
      </c>
      <c r="K183" s="3"/>
      <c r="L183" s="11"/>
      <c r="M183" s="45"/>
      <c r="N183" s="11" t="s">
        <v>186</v>
      </c>
      <c r="O183" s="11" t="s">
        <v>192</v>
      </c>
      <c r="P183" s="11" t="s">
        <v>187</v>
      </c>
      <c r="Q183" s="3" t="s">
        <v>187</v>
      </c>
      <c r="R183" s="3">
        <v>280</v>
      </c>
      <c r="S183" s="11" t="s">
        <v>259</v>
      </c>
      <c r="T183" s="12" t="s">
        <v>26</v>
      </c>
      <c r="U183" s="12" t="s">
        <v>222</v>
      </c>
      <c r="V183" s="12"/>
      <c r="W183" s="12" t="s">
        <v>2</v>
      </c>
      <c r="X183" s="8"/>
      <c r="Y183" s="25"/>
      <c r="Z183" s="349" t="s">
        <v>92</v>
      </c>
      <c r="AA183" s="10" t="s">
        <v>722</v>
      </c>
      <c r="AB183" s="12" t="s">
        <v>697</v>
      </c>
      <c r="AC183" s="27"/>
      <c r="AD183" s="27"/>
      <c r="AE183" s="7"/>
      <c r="AF183" s="7"/>
      <c r="AG183" s="7"/>
      <c r="AH183" s="33"/>
      <c r="AI183" s="7"/>
      <c r="AJ183" s="409"/>
      <c r="AK183" s="27"/>
      <c r="AL183" s="36">
        <v>40000</v>
      </c>
      <c r="AM183" s="33">
        <f t="shared" si="143"/>
        <v>40000</v>
      </c>
      <c r="AN183" s="36"/>
      <c r="AO183" s="36"/>
      <c r="AP183" s="7">
        <f t="shared" si="132"/>
        <v>0</v>
      </c>
      <c r="AQ183" s="36"/>
      <c r="AR183" s="36"/>
      <c r="AS183" s="7">
        <f t="shared" si="148"/>
        <v>0</v>
      </c>
      <c r="AT183" s="36"/>
      <c r="AU183" s="36"/>
      <c r="AV183" s="7">
        <f t="shared" si="149"/>
        <v>0</v>
      </c>
      <c r="AW183" s="7"/>
      <c r="AX183" s="7"/>
      <c r="AY183" s="7">
        <f t="shared" si="199"/>
        <v>0</v>
      </c>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f t="shared" si="205"/>
        <v>0</v>
      </c>
      <c r="BZ183" s="7">
        <f t="shared" si="206"/>
        <v>0</v>
      </c>
      <c r="CA183" s="7"/>
      <c r="CB183" s="7">
        <f t="shared" si="207"/>
        <v>40000</v>
      </c>
      <c r="CC183" s="7">
        <f t="shared" si="208"/>
        <v>40000</v>
      </c>
      <c r="CD183" s="15">
        <f t="shared" si="209"/>
        <v>0</v>
      </c>
      <c r="CE183" s="15">
        <f t="shared" si="210"/>
        <v>0</v>
      </c>
      <c r="CF183" s="451" t="s">
        <v>784</v>
      </c>
      <c r="CG183" s="27"/>
      <c r="CH183" s="7"/>
      <c r="CI183" s="7"/>
      <c r="CJ183" s="7"/>
      <c r="CK183" s="27"/>
      <c r="CL183" s="7"/>
      <c r="CM183" s="7"/>
      <c r="CN183" s="7"/>
      <c r="CO183" s="27"/>
      <c r="CP183" s="27"/>
      <c r="CQ183" s="7"/>
      <c r="CR183" s="7"/>
      <c r="CS183" s="7"/>
      <c r="CT183" s="27"/>
      <c r="CU183" s="27"/>
      <c r="CV183" s="7"/>
      <c r="CW183" s="27"/>
      <c r="CX183" s="27"/>
      <c r="CY183" s="7"/>
      <c r="CZ183" s="27"/>
      <c r="DA183" s="27"/>
      <c r="DB183" s="7"/>
      <c r="DC183" s="27"/>
      <c r="DD183" s="7"/>
      <c r="DE183" s="27"/>
      <c r="DF183" s="7"/>
      <c r="DG183" s="27"/>
      <c r="DH183" s="7"/>
      <c r="DI183" s="27"/>
      <c r="DJ183" s="7"/>
      <c r="DK183" s="27"/>
      <c r="DL183" s="7"/>
      <c r="DM183" s="27"/>
      <c r="DN183" s="7"/>
      <c r="DO183" s="27"/>
      <c r="DP183" s="14"/>
      <c r="DQ183" s="14"/>
      <c r="DR183" s="7"/>
      <c r="DS183" s="7"/>
      <c r="DT183" s="7"/>
      <c r="DU183" s="15"/>
      <c r="DV183" s="15"/>
      <c r="DW183" s="15"/>
      <c r="DX183" s="15"/>
      <c r="DY183" s="7"/>
      <c r="DZ183" s="27"/>
      <c r="EA183" s="319"/>
    </row>
    <row r="184" spans="1:131" s="10" customFormat="1" x14ac:dyDescent="0.25">
      <c r="A184" s="24" t="s">
        <v>84</v>
      </c>
      <c r="B184" s="24" t="s">
        <v>671</v>
      </c>
      <c r="C184" s="24" t="s">
        <v>238</v>
      </c>
      <c r="E184" s="3">
        <v>725020</v>
      </c>
      <c r="F184" s="353">
        <v>4</v>
      </c>
      <c r="G184" s="359" t="s">
        <v>187</v>
      </c>
      <c r="H184" s="353">
        <v>1556</v>
      </c>
      <c r="I184" s="9" t="s">
        <v>32</v>
      </c>
      <c r="J184" s="10" t="s">
        <v>32</v>
      </c>
      <c r="K184" s="3">
        <v>4</v>
      </c>
      <c r="L184" s="11" t="s">
        <v>187</v>
      </c>
      <c r="M184" s="45"/>
      <c r="N184" s="11" t="s">
        <v>186</v>
      </c>
      <c r="O184" s="11" t="s">
        <v>192</v>
      </c>
      <c r="P184" s="11" t="s">
        <v>187</v>
      </c>
      <c r="Q184" s="3" t="s">
        <v>187</v>
      </c>
      <c r="R184" s="3">
        <v>270</v>
      </c>
      <c r="S184" s="3" t="s">
        <v>188</v>
      </c>
      <c r="T184" s="12" t="s">
        <v>26</v>
      </c>
      <c r="U184" s="12" t="s">
        <v>222</v>
      </c>
      <c r="V184" s="12"/>
      <c r="W184" s="12" t="s">
        <v>2</v>
      </c>
      <c r="X184" s="8"/>
      <c r="Y184" s="25" t="s">
        <v>69</v>
      </c>
      <c r="Z184" s="349" t="s">
        <v>94</v>
      </c>
      <c r="AA184" s="10" t="s">
        <v>666</v>
      </c>
      <c r="AB184" s="12" t="s">
        <v>8</v>
      </c>
      <c r="AC184" s="27"/>
      <c r="AD184" s="27"/>
      <c r="AE184" s="7"/>
      <c r="AF184" s="7"/>
      <c r="AG184" s="7">
        <f t="shared" si="150"/>
        <v>0</v>
      </c>
      <c r="AH184" s="33"/>
      <c r="AI184" s="7">
        <f t="shared" si="151"/>
        <v>0</v>
      </c>
      <c r="AJ184" s="409"/>
      <c r="AK184" s="27">
        <v>211190</v>
      </c>
      <c r="AL184" s="36"/>
      <c r="AM184" s="33">
        <f t="shared" si="143"/>
        <v>211190</v>
      </c>
      <c r="AN184" s="36">
        <v>0</v>
      </c>
      <c r="AO184" s="36">
        <v>0</v>
      </c>
      <c r="AP184" s="7">
        <f t="shared" si="132"/>
        <v>0</v>
      </c>
      <c r="AQ184" s="36"/>
      <c r="AR184" s="36"/>
      <c r="AS184" s="7">
        <f t="shared" si="148"/>
        <v>0</v>
      </c>
      <c r="AT184" s="36"/>
      <c r="AU184" s="36"/>
      <c r="AV184" s="7">
        <f t="shared" si="149"/>
        <v>0</v>
      </c>
      <c r="AW184" s="7"/>
      <c r="AX184" s="7"/>
      <c r="AY184" s="7">
        <f t="shared" si="199"/>
        <v>0</v>
      </c>
      <c r="AZ184" s="7"/>
      <c r="BA184" s="7"/>
      <c r="BB184" s="7">
        <f t="shared" si="135"/>
        <v>0</v>
      </c>
      <c r="BC184" s="7"/>
      <c r="BD184" s="7"/>
      <c r="BE184" s="7">
        <f t="shared" si="136"/>
        <v>0</v>
      </c>
      <c r="BF184" s="7"/>
      <c r="BG184" s="7"/>
      <c r="BH184" s="7">
        <f t="shared" si="137"/>
        <v>0</v>
      </c>
      <c r="BI184" s="7"/>
      <c r="BJ184" s="7"/>
      <c r="BK184" s="7">
        <f t="shared" si="138"/>
        <v>0</v>
      </c>
      <c r="BL184" s="7"/>
      <c r="BM184" s="7"/>
      <c r="BN184" s="7">
        <f t="shared" si="139"/>
        <v>0</v>
      </c>
      <c r="BO184" s="7"/>
      <c r="BP184" s="7"/>
      <c r="BQ184" s="7">
        <f t="shared" si="140"/>
        <v>0</v>
      </c>
      <c r="BR184" s="7"/>
      <c r="BS184" s="7"/>
      <c r="BT184" s="7">
        <f t="shared" si="141"/>
        <v>0</v>
      </c>
      <c r="BU184" s="7"/>
      <c r="BV184" s="7"/>
      <c r="BW184" s="7">
        <f t="shared" si="142"/>
        <v>0</v>
      </c>
      <c r="BX184" s="7"/>
      <c r="BY184" s="7">
        <f t="shared" si="205"/>
        <v>0</v>
      </c>
      <c r="BZ184" s="7">
        <f t="shared" si="206"/>
        <v>0</v>
      </c>
      <c r="CA184" s="7"/>
      <c r="CB184" s="7">
        <f t="shared" si="207"/>
        <v>211190</v>
      </c>
      <c r="CC184" s="7">
        <f t="shared" si="208"/>
        <v>211190</v>
      </c>
      <c r="CD184" s="15">
        <f t="shared" si="209"/>
        <v>0</v>
      </c>
      <c r="CE184" s="15">
        <f t="shared" si="210"/>
        <v>0</v>
      </c>
      <c r="CF184" s="451" t="s">
        <v>808</v>
      </c>
      <c r="CG184" s="27"/>
      <c r="CH184" s="7"/>
      <c r="CI184" s="7"/>
      <c r="CJ184" s="7"/>
      <c r="CK184" s="27"/>
      <c r="CL184" s="7"/>
      <c r="CM184" s="7"/>
      <c r="CN184" s="7"/>
      <c r="CO184" s="27"/>
      <c r="CP184" s="27"/>
      <c r="CQ184" s="7"/>
      <c r="CR184" s="7"/>
      <c r="CS184" s="7"/>
      <c r="CT184" s="27"/>
      <c r="CU184" s="27"/>
      <c r="CV184" s="7"/>
      <c r="CW184" s="27"/>
      <c r="CX184" s="27"/>
      <c r="CY184" s="7"/>
      <c r="CZ184" s="27"/>
      <c r="DA184" s="27"/>
      <c r="DB184" s="7"/>
      <c r="DC184" s="27"/>
      <c r="DD184" s="7"/>
      <c r="DE184" s="27"/>
      <c r="DF184" s="7"/>
      <c r="DG184" s="27"/>
      <c r="DH184" s="7"/>
      <c r="DI184" s="27"/>
      <c r="DJ184" s="7"/>
      <c r="DK184" s="27"/>
      <c r="DL184" s="7"/>
      <c r="DM184" s="27"/>
      <c r="DN184" s="7"/>
      <c r="DO184" s="27"/>
      <c r="DP184" s="14"/>
      <c r="DQ184" s="14"/>
      <c r="DR184" s="7"/>
      <c r="DS184" s="7"/>
      <c r="DT184" s="7"/>
      <c r="DU184" s="15"/>
      <c r="DV184" s="15"/>
      <c r="DW184" s="15"/>
      <c r="DX184" s="15"/>
      <c r="DY184" s="7"/>
      <c r="DZ184" s="27"/>
      <c r="EA184" s="319"/>
    </row>
    <row r="185" spans="1:131" s="10" customFormat="1" x14ac:dyDescent="0.25">
      <c r="A185" s="24" t="s">
        <v>84</v>
      </c>
      <c r="B185" s="24" t="s">
        <v>671</v>
      </c>
      <c r="C185" s="8" t="s">
        <v>626</v>
      </c>
      <c r="E185" s="3">
        <v>725020</v>
      </c>
      <c r="F185" s="353">
        <v>5</v>
      </c>
      <c r="G185" s="359" t="s">
        <v>186</v>
      </c>
      <c r="H185" s="353">
        <v>1511</v>
      </c>
      <c r="I185" s="9" t="s">
        <v>246</v>
      </c>
      <c r="J185" s="10" t="s">
        <v>32</v>
      </c>
      <c r="K185" s="3">
        <v>4</v>
      </c>
      <c r="L185" s="11" t="s">
        <v>187</v>
      </c>
      <c r="M185" s="45"/>
      <c r="N185" s="11" t="s">
        <v>186</v>
      </c>
      <c r="O185" s="11" t="s">
        <v>582</v>
      </c>
      <c r="P185" s="11" t="s">
        <v>582</v>
      </c>
      <c r="Q185" s="11" t="s">
        <v>187</v>
      </c>
      <c r="R185" s="3">
        <v>270</v>
      </c>
      <c r="S185" s="11" t="s">
        <v>188</v>
      </c>
      <c r="T185" s="12" t="s">
        <v>26</v>
      </c>
      <c r="U185" s="12" t="s">
        <v>222</v>
      </c>
      <c r="V185" s="12"/>
      <c r="W185" s="12" t="s">
        <v>5</v>
      </c>
      <c r="X185" s="8"/>
      <c r="Y185" s="13" t="s">
        <v>100</v>
      </c>
      <c r="Z185" s="25" t="s">
        <v>92</v>
      </c>
      <c r="AA185" s="10" t="s">
        <v>436</v>
      </c>
      <c r="AB185" s="12" t="s">
        <v>8</v>
      </c>
      <c r="AC185" s="27"/>
      <c r="AD185" s="27"/>
      <c r="AE185" s="7"/>
      <c r="AF185" s="7"/>
      <c r="AG185" s="7"/>
      <c r="AH185" s="33"/>
      <c r="AI185" s="7"/>
      <c r="AJ185" s="409"/>
      <c r="AK185" s="27"/>
      <c r="AL185" s="27">
        <v>145000</v>
      </c>
      <c r="AM185" s="33">
        <f t="shared" si="143"/>
        <v>145000</v>
      </c>
      <c r="AN185" s="36"/>
      <c r="AO185" s="36"/>
      <c r="AP185" s="7">
        <f t="shared" si="132"/>
        <v>0</v>
      </c>
      <c r="AQ185" s="36"/>
      <c r="AR185" s="36"/>
      <c r="AS185" s="7">
        <f t="shared" si="148"/>
        <v>0</v>
      </c>
      <c r="AT185" s="36"/>
      <c r="AU185" s="36"/>
      <c r="AV185" s="7">
        <f t="shared" si="149"/>
        <v>0</v>
      </c>
      <c r="AW185" s="7"/>
      <c r="AX185" s="7"/>
      <c r="AY185" s="7">
        <f t="shared" si="199"/>
        <v>0</v>
      </c>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f t="shared" si="205"/>
        <v>0</v>
      </c>
      <c r="BZ185" s="7">
        <f t="shared" si="206"/>
        <v>0</v>
      </c>
      <c r="CA185" s="7"/>
      <c r="CB185" s="7">
        <f t="shared" si="207"/>
        <v>145000</v>
      </c>
      <c r="CC185" s="7">
        <f t="shared" si="208"/>
        <v>145000</v>
      </c>
      <c r="CD185" s="15">
        <f t="shared" si="209"/>
        <v>0</v>
      </c>
      <c r="CE185" s="15">
        <f t="shared" si="210"/>
        <v>0</v>
      </c>
      <c r="CF185" s="451" t="s">
        <v>868</v>
      </c>
      <c r="CG185" s="27"/>
      <c r="CH185" s="7"/>
      <c r="CI185" s="7"/>
      <c r="CJ185" s="7"/>
      <c r="CK185" s="27"/>
      <c r="CL185" s="7"/>
      <c r="CM185" s="7"/>
      <c r="CN185" s="7"/>
      <c r="CO185" s="27"/>
      <c r="CP185" s="27"/>
      <c r="CQ185" s="7"/>
      <c r="CR185" s="7"/>
      <c r="CS185" s="7"/>
      <c r="CT185" s="27"/>
      <c r="CU185" s="27"/>
      <c r="CV185" s="7"/>
      <c r="CW185" s="27"/>
      <c r="CX185" s="27"/>
      <c r="CY185" s="7"/>
      <c r="CZ185" s="27"/>
      <c r="DA185" s="27"/>
      <c r="DB185" s="7"/>
      <c r="DC185" s="27"/>
      <c r="DD185" s="7"/>
      <c r="DE185" s="27"/>
      <c r="DF185" s="7"/>
      <c r="DG185" s="27"/>
      <c r="DH185" s="7"/>
      <c r="DI185" s="27"/>
      <c r="DJ185" s="7"/>
      <c r="DK185" s="27"/>
      <c r="DL185" s="7"/>
      <c r="DM185" s="27"/>
      <c r="DN185" s="7"/>
      <c r="DO185" s="27"/>
      <c r="DP185" s="14"/>
      <c r="DQ185" s="14"/>
      <c r="DR185" s="7"/>
      <c r="DS185" s="7"/>
      <c r="DT185" s="7"/>
      <c r="DU185" s="15"/>
      <c r="DV185" s="15"/>
      <c r="DW185" s="15"/>
      <c r="DX185" s="15"/>
      <c r="DY185" s="7"/>
      <c r="DZ185" s="27"/>
      <c r="EA185" s="319"/>
    </row>
    <row r="186" spans="1:131" s="10" customFormat="1" x14ac:dyDescent="0.25">
      <c r="A186" s="24" t="s">
        <v>84</v>
      </c>
      <c r="B186" s="24" t="s">
        <v>671</v>
      </c>
      <c r="C186" s="8" t="s">
        <v>626</v>
      </c>
      <c r="E186" s="3">
        <v>725020</v>
      </c>
      <c r="F186" s="353">
        <v>5</v>
      </c>
      <c r="G186" s="359" t="s">
        <v>186</v>
      </c>
      <c r="H186" s="353">
        <v>1522</v>
      </c>
      <c r="I186" s="9" t="s">
        <v>246</v>
      </c>
      <c r="J186" s="10" t="s">
        <v>32</v>
      </c>
      <c r="K186" s="3">
        <v>5</v>
      </c>
      <c r="L186" s="11" t="s">
        <v>186</v>
      </c>
      <c r="M186" s="45"/>
      <c r="N186" s="11" t="s">
        <v>186</v>
      </c>
      <c r="O186" s="11" t="s">
        <v>582</v>
      </c>
      <c r="P186" s="11" t="s">
        <v>582</v>
      </c>
      <c r="Q186" s="11" t="s">
        <v>187</v>
      </c>
      <c r="R186" s="3">
        <v>270</v>
      </c>
      <c r="S186" s="11" t="s">
        <v>188</v>
      </c>
      <c r="T186" s="12" t="s">
        <v>26</v>
      </c>
      <c r="U186" s="12" t="s">
        <v>222</v>
      </c>
      <c r="V186" s="12"/>
      <c r="W186" s="12" t="s">
        <v>5</v>
      </c>
      <c r="X186" s="8"/>
      <c r="Y186" s="13" t="s">
        <v>100</v>
      </c>
      <c r="Z186" s="25" t="s">
        <v>92</v>
      </c>
      <c r="AA186" s="10" t="s">
        <v>792</v>
      </c>
      <c r="AB186" s="12" t="s">
        <v>8</v>
      </c>
      <c r="AC186" s="27"/>
      <c r="AD186" s="27"/>
      <c r="AE186" s="7"/>
      <c r="AF186" s="7"/>
      <c r="AG186" s="7"/>
      <c r="AH186" s="33"/>
      <c r="AI186" s="7"/>
      <c r="AJ186" s="409"/>
      <c r="AK186" s="27"/>
      <c r="AL186" s="36"/>
      <c r="AM186" s="33">
        <v>10000</v>
      </c>
      <c r="AN186" s="36"/>
      <c r="AO186" s="36"/>
      <c r="AP186" s="7"/>
      <c r="AQ186" s="36"/>
      <c r="AR186" s="36"/>
      <c r="AS186" s="7"/>
      <c r="AT186" s="36"/>
      <c r="AU186" s="36"/>
      <c r="AV186" s="7"/>
      <c r="AW186" s="7"/>
      <c r="AX186" s="7"/>
      <c r="AY186" s="7">
        <f t="shared" si="199"/>
        <v>0</v>
      </c>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f t="shared" si="205"/>
        <v>0</v>
      </c>
      <c r="BZ186" s="7">
        <f t="shared" si="206"/>
        <v>0</v>
      </c>
      <c r="CA186" s="7"/>
      <c r="CB186" s="7">
        <f t="shared" si="207"/>
        <v>10000</v>
      </c>
      <c r="CC186" s="7">
        <f t="shared" si="208"/>
        <v>10000</v>
      </c>
      <c r="CD186" s="15">
        <f t="shared" si="209"/>
        <v>0</v>
      </c>
      <c r="CE186" s="15">
        <f t="shared" si="210"/>
        <v>0</v>
      </c>
      <c r="CF186" s="451" t="s">
        <v>859</v>
      </c>
      <c r="CG186" s="27"/>
      <c r="CH186" s="7"/>
      <c r="CI186" s="7"/>
      <c r="CJ186" s="7"/>
      <c r="CK186" s="27"/>
      <c r="CL186" s="7"/>
      <c r="CM186" s="7"/>
      <c r="CN186" s="7"/>
      <c r="CO186" s="27"/>
      <c r="CP186" s="27"/>
      <c r="CQ186" s="7"/>
      <c r="CR186" s="7"/>
      <c r="CS186" s="7"/>
      <c r="CT186" s="27"/>
      <c r="CU186" s="27"/>
      <c r="CV186" s="7"/>
      <c r="CW186" s="27"/>
      <c r="CX186" s="27"/>
      <c r="CY186" s="7"/>
      <c r="CZ186" s="27"/>
      <c r="DA186" s="27"/>
      <c r="DB186" s="7"/>
      <c r="DC186" s="27"/>
      <c r="DD186" s="7"/>
      <c r="DE186" s="27"/>
      <c r="DF186" s="7"/>
      <c r="DG186" s="27"/>
      <c r="DH186" s="7"/>
      <c r="DI186" s="27"/>
      <c r="DJ186" s="7"/>
      <c r="DK186" s="27"/>
      <c r="DL186" s="7"/>
      <c r="DM186" s="27"/>
      <c r="DN186" s="7"/>
      <c r="DO186" s="27"/>
      <c r="DP186" s="14"/>
      <c r="DQ186" s="14"/>
      <c r="DR186" s="7"/>
      <c r="DS186" s="7"/>
      <c r="DT186" s="7"/>
      <c r="DU186" s="15"/>
      <c r="DV186" s="15"/>
      <c r="DW186" s="15"/>
      <c r="DX186" s="15"/>
      <c r="DY186" s="7"/>
      <c r="DZ186" s="27"/>
      <c r="EA186" s="319"/>
    </row>
    <row r="187" spans="1:131" s="10" customFormat="1" x14ac:dyDescent="0.25">
      <c r="A187" s="24" t="s">
        <v>84</v>
      </c>
      <c r="B187" s="24" t="s">
        <v>672</v>
      </c>
      <c r="C187" s="24" t="s">
        <v>652</v>
      </c>
      <c r="D187" s="10" t="s">
        <v>77</v>
      </c>
      <c r="E187" s="3">
        <v>725025</v>
      </c>
      <c r="F187" s="353">
        <v>4</v>
      </c>
      <c r="G187" s="353">
        <v>36</v>
      </c>
      <c r="H187" s="353">
        <v>1538</v>
      </c>
      <c r="I187" s="9" t="s">
        <v>32</v>
      </c>
      <c r="J187" s="10" t="s">
        <v>32</v>
      </c>
      <c r="K187" s="3">
        <v>4</v>
      </c>
      <c r="L187" s="3">
        <v>36</v>
      </c>
      <c r="M187" s="45"/>
      <c r="N187" s="3" t="s">
        <v>186</v>
      </c>
      <c r="O187" s="11" t="s">
        <v>192</v>
      </c>
      <c r="P187" s="11" t="s">
        <v>187</v>
      </c>
      <c r="Q187" s="3" t="s">
        <v>187</v>
      </c>
      <c r="R187" s="3">
        <v>312</v>
      </c>
      <c r="S187" s="11" t="s">
        <v>188</v>
      </c>
      <c r="T187" s="12" t="s">
        <v>78</v>
      </c>
      <c r="U187" s="12"/>
      <c r="V187" s="12" t="s">
        <v>222</v>
      </c>
      <c r="W187" s="12" t="s">
        <v>2</v>
      </c>
      <c r="X187" s="8" t="s">
        <v>58</v>
      </c>
      <c r="Y187" s="25" t="s">
        <v>69</v>
      </c>
      <c r="Z187" s="349">
        <v>35</v>
      </c>
      <c r="AA187" s="10" t="s">
        <v>117</v>
      </c>
      <c r="AB187" s="110" t="s">
        <v>37</v>
      </c>
      <c r="AC187" s="7">
        <v>1500000</v>
      </c>
      <c r="AD187" s="7"/>
      <c r="AE187" s="7">
        <f>AC187+AD187</f>
        <v>1500000</v>
      </c>
      <c r="AF187" s="7">
        <v>500000</v>
      </c>
      <c r="AG187" s="7">
        <f t="shared" si="150"/>
        <v>2000000</v>
      </c>
      <c r="AH187" s="33">
        <v>-2000000</v>
      </c>
      <c r="AI187" s="7">
        <f t="shared" si="151"/>
        <v>0</v>
      </c>
      <c r="AJ187" s="409">
        <v>2000000</v>
      </c>
      <c r="AK187" s="7">
        <f>3000000+5000000-5000000</f>
        <v>3000000</v>
      </c>
      <c r="AL187" s="33"/>
      <c r="AM187" s="33">
        <f t="shared" si="143"/>
        <v>3000000</v>
      </c>
      <c r="AN187" s="33">
        <v>0</v>
      </c>
      <c r="AO187" s="33">
        <v>0</v>
      </c>
      <c r="AP187" s="7">
        <f t="shared" si="132"/>
        <v>0</v>
      </c>
      <c r="AQ187" s="33"/>
      <c r="AR187" s="33"/>
      <c r="AS187" s="7">
        <f t="shared" si="148"/>
        <v>0</v>
      </c>
      <c r="AT187" s="33"/>
      <c r="AU187" s="33"/>
      <c r="AV187" s="7">
        <f t="shared" si="149"/>
        <v>0</v>
      </c>
      <c r="AW187" s="7"/>
      <c r="AX187" s="7"/>
      <c r="AY187" s="7">
        <f t="shared" si="199"/>
        <v>0</v>
      </c>
      <c r="AZ187" s="7"/>
      <c r="BA187" s="7"/>
      <c r="BB187" s="7">
        <f t="shared" si="135"/>
        <v>0</v>
      </c>
      <c r="BC187" s="7"/>
      <c r="BD187" s="7"/>
      <c r="BE187" s="7">
        <f t="shared" si="136"/>
        <v>0</v>
      </c>
      <c r="BF187" s="7"/>
      <c r="BG187" s="7"/>
      <c r="BH187" s="7">
        <f t="shared" si="137"/>
        <v>0</v>
      </c>
      <c r="BI187" s="7"/>
      <c r="BJ187" s="7"/>
      <c r="BK187" s="7">
        <f t="shared" si="138"/>
        <v>0</v>
      </c>
      <c r="BL187" s="7"/>
      <c r="BM187" s="7"/>
      <c r="BN187" s="7">
        <f t="shared" si="139"/>
        <v>0</v>
      </c>
      <c r="BO187" s="7"/>
      <c r="BP187" s="7"/>
      <c r="BQ187" s="7">
        <f t="shared" si="140"/>
        <v>0</v>
      </c>
      <c r="BR187" s="7"/>
      <c r="BS187" s="7"/>
      <c r="BT187" s="7">
        <f t="shared" si="141"/>
        <v>0</v>
      </c>
      <c r="BU187" s="7"/>
      <c r="BV187" s="7"/>
      <c r="BW187" s="7">
        <f t="shared" si="142"/>
        <v>0</v>
      </c>
      <c r="BX187" s="7">
        <v>2069735</v>
      </c>
      <c r="BY187" s="7">
        <f t="shared" si="205"/>
        <v>0</v>
      </c>
      <c r="BZ187" s="7">
        <f t="shared" si="206"/>
        <v>0</v>
      </c>
      <c r="CA187" s="7"/>
      <c r="CB187" s="7">
        <f t="shared" si="207"/>
        <v>3000000</v>
      </c>
      <c r="CC187" s="7">
        <f t="shared" si="208"/>
        <v>3000000</v>
      </c>
      <c r="CD187" s="15">
        <f t="shared" si="209"/>
        <v>0</v>
      </c>
      <c r="CE187" s="15">
        <f t="shared" si="210"/>
        <v>0</v>
      </c>
      <c r="CF187" s="451" t="s">
        <v>870</v>
      </c>
      <c r="CG187" s="7">
        <f>1000000+5000000</f>
        <v>6000000</v>
      </c>
      <c r="CH187" s="7">
        <v>6000000</v>
      </c>
      <c r="CI187" s="7"/>
      <c r="CJ187" s="7"/>
      <c r="CK187" s="7"/>
      <c r="CL187" s="7">
        <f>CK187</f>
        <v>0</v>
      </c>
      <c r="CM187" s="7"/>
      <c r="CN187" s="7">
        <f>CM187</f>
        <v>0</v>
      </c>
      <c r="CO187" s="7"/>
      <c r="CP187" s="7">
        <v>0</v>
      </c>
      <c r="CQ187" s="7">
        <f>CO187+CP187</f>
        <v>0</v>
      </c>
      <c r="CR187" s="7">
        <f>CK187+CM187+CO187</f>
        <v>0</v>
      </c>
      <c r="CS187" s="7">
        <f>CL187+CN187+CQ187</f>
        <v>0</v>
      </c>
      <c r="CT187" s="7"/>
      <c r="CU187" s="7"/>
      <c r="CV187" s="7">
        <f>CT187+CU187</f>
        <v>0</v>
      </c>
      <c r="CW187" s="7"/>
      <c r="CX187" s="7"/>
      <c r="CY187" s="7">
        <f>CW187+CX187</f>
        <v>0</v>
      </c>
      <c r="CZ187" s="7"/>
      <c r="DA187" s="7"/>
      <c r="DB187" s="7">
        <f>CZ187+DA187</f>
        <v>0</v>
      </c>
      <c r="DC187" s="7"/>
      <c r="DD187" s="7">
        <f>DC187</f>
        <v>0</v>
      </c>
      <c r="DE187" s="7"/>
      <c r="DF187" s="7">
        <f>DE187</f>
        <v>0</v>
      </c>
      <c r="DG187" s="7"/>
      <c r="DH187" s="7">
        <f>DG187</f>
        <v>0</v>
      </c>
      <c r="DI187" s="7"/>
      <c r="DJ187" s="7">
        <f>DI187</f>
        <v>0</v>
      </c>
      <c r="DK187" s="7"/>
      <c r="DL187" s="7">
        <f>DK187</f>
        <v>0</v>
      </c>
      <c r="DM187" s="7"/>
      <c r="DN187" s="7">
        <f>DM187</f>
        <v>0</v>
      </c>
      <c r="DO187" s="7"/>
      <c r="DP187" s="14">
        <f>CK187+CM187+CO187+CT187+CW187+CZ187+DC187+DE187+DG187+DI187+DK187+DM187</f>
        <v>0</v>
      </c>
      <c r="DQ187" s="14">
        <f>CL187+CN187+CQ187+CV187+CY187+DB187</f>
        <v>0</v>
      </c>
      <c r="DR187" s="7"/>
      <c r="DS187" s="7">
        <f>AG187-DP187</f>
        <v>2000000</v>
      </c>
      <c r="DT187" s="7">
        <f>AG187-DQ187</f>
        <v>2000000</v>
      </c>
      <c r="DU187" s="15">
        <f>DP187/AG187</f>
        <v>0</v>
      </c>
      <c r="DV187" s="15">
        <f>DQ187/AG187</f>
        <v>0</v>
      </c>
      <c r="DW187" s="7"/>
      <c r="DX187" s="7"/>
      <c r="DY187" s="7"/>
      <c r="DZ187" s="27"/>
      <c r="EA187" s="319"/>
    </row>
    <row r="188" spans="1:131" s="10" customFormat="1" ht="30.75" x14ac:dyDescent="0.25">
      <c r="A188" s="24" t="s">
        <v>84</v>
      </c>
      <c r="B188" s="24" t="s">
        <v>672</v>
      </c>
      <c r="C188" s="24" t="s">
        <v>652</v>
      </c>
      <c r="E188" s="3">
        <v>725025</v>
      </c>
      <c r="F188" s="353">
        <v>4</v>
      </c>
      <c r="G188" s="359" t="s">
        <v>187</v>
      </c>
      <c r="H188" s="353">
        <v>1536</v>
      </c>
      <c r="I188" s="9" t="s">
        <v>32</v>
      </c>
      <c r="J188" s="10" t="s">
        <v>32</v>
      </c>
      <c r="K188" s="3">
        <v>4</v>
      </c>
      <c r="L188" s="11" t="s">
        <v>187</v>
      </c>
      <c r="M188" s="45"/>
      <c r="N188" s="11" t="s">
        <v>186</v>
      </c>
      <c r="O188" s="11" t="s">
        <v>192</v>
      </c>
      <c r="P188" s="11" t="s">
        <v>187</v>
      </c>
      <c r="Q188" s="3" t="s">
        <v>187</v>
      </c>
      <c r="R188" s="3">
        <v>250</v>
      </c>
      <c r="S188" s="3" t="s">
        <v>188</v>
      </c>
      <c r="T188" s="12" t="s">
        <v>46</v>
      </c>
      <c r="U188" s="12" t="s">
        <v>222</v>
      </c>
      <c r="V188" s="12"/>
      <c r="W188" s="12" t="s">
        <v>2</v>
      </c>
      <c r="X188" s="8" t="s">
        <v>52</v>
      </c>
      <c r="Y188" s="25" t="s">
        <v>69</v>
      </c>
      <c r="Z188" s="349">
        <v>20</v>
      </c>
      <c r="AA188" s="10" t="s">
        <v>127</v>
      </c>
      <c r="AB188" s="12" t="s">
        <v>8</v>
      </c>
      <c r="AC188" s="27">
        <v>200000</v>
      </c>
      <c r="AD188" s="27"/>
      <c r="AE188" s="7">
        <f>AC188+AD188</f>
        <v>200000</v>
      </c>
      <c r="AF188" s="7"/>
      <c r="AG188" s="7">
        <f t="shared" si="150"/>
        <v>200000</v>
      </c>
      <c r="AH188" s="33"/>
      <c r="AI188" s="7">
        <f t="shared" si="151"/>
        <v>200000</v>
      </c>
      <c r="AJ188" s="409"/>
      <c r="AK188" s="27">
        <v>200000</v>
      </c>
      <c r="AL188" s="36"/>
      <c r="AM188" s="33">
        <f t="shared" si="143"/>
        <v>200000</v>
      </c>
      <c r="AN188" s="36">
        <v>1102.6300000000001</v>
      </c>
      <c r="AO188" s="36">
        <v>0</v>
      </c>
      <c r="AP188" s="7">
        <f t="shared" si="132"/>
        <v>1102.6300000000001</v>
      </c>
      <c r="AQ188" s="36"/>
      <c r="AR188" s="36"/>
      <c r="AS188" s="7">
        <f t="shared" si="148"/>
        <v>0</v>
      </c>
      <c r="AT188" s="36"/>
      <c r="AU188" s="36"/>
      <c r="AV188" s="7">
        <f t="shared" si="149"/>
        <v>0</v>
      </c>
      <c r="AW188" s="7"/>
      <c r="AX188" s="7"/>
      <c r="AY188" s="7">
        <f t="shared" si="199"/>
        <v>0</v>
      </c>
      <c r="AZ188" s="7"/>
      <c r="BA188" s="7"/>
      <c r="BB188" s="7">
        <f t="shared" si="135"/>
        <v>0</v>
      </c>
      <c r="BC188" s="7"/>
      <c r="BD188" s="7"/>
      <c r="BE188" s="7">
        <f t="shared" si="136"/>
        <v>0</v>
      </c>
      <c r="BF188" s="7"/>
      <c r="BG188" s="7"/>
      <c r="BH188" s="7">
        <f t="shared" si="137"/>
        <v>0</v>
      </c>
      <c r="BI188" s="7"/>
      <c r="BJ188" s="7"/>
      <c r="BK188" s="7">
        <f t="shared" si="138"/>
        <v>0</v>
      </c>
      <c r="BL188" s="7"/>
      <c r="BM188" s="7"/>
      <c r="BN188" s="7">
        <f t="shared" si="139"/>
        <v>0</v>
      </c>
      <c r="BO188" s="7"/>
      <c r="BP188" s="7"/>
      <c r="BQ188" s="7">
        <f t="shared" si="140"/>
        <v>0</v>
      </c>
      <c r="BR188" s="7"/>
      <c r="BS188" s="7"/>
      <c r="BT188" s="7">
        <f t="shared" si="141"/>
        <v>0</v>
      </c>
      <c r="BU188" s="7"/>
      <c r="BV188" s="7"/>
      <c r="BW188" s="7">
        <f t="shared" si="142"/>
        <v>0</v>
      </c>
      <c r="BX188" s="7"/>
      <c r="BY188" s="7">
        <f t="shared" si="205"/>
        <v>1102.6300000000001</v>
      </c>
      <c r="BZ188" s="7">
        <f t="shared" si="206"/>
        <v>1102.6300000000001</v>
      </c>
      <c r="CA188" s="7"/>
      <c r="CB188" s="7">
        <f t="shared" si="207"/>
        <v>198897.37</v>
      </c>
      <c r="CC188" s="7">
        <f t="shared" si="208"/>
        <v>198897.37</v>
      </c>
      <c r="CD188" s="15">
        <f t="shared" si="209"/>
        <v>5.5131500000000005E-3</v>
      </c>
      <c r="CE188" s="15">
        <f t="shared" si="210"/>
        <v>5.5131500000000005E-3</v>
      </c>
      <c r="CF188" s="451" t="s">
        <v>886</v>
      </c>
      <c r="CG188" s="27">
        <v>0</v>
      </c>
      <c r="CH188" s="7">
        <v>0</v>
      </c>
      <c r="CI188" s="7"/>
      <c r="CJ188" s="7"/>
      <c r="CK188" s="27"/>
      <c r="CL188" s="7">
        <f>CK188</f>
        <v>0</v>
      </c>
      <c r="CM188" s="27"/>
      <c r="CN188" s="7">
        <f>CM188</f>
        <v>0</v>
      </c>
      <c r="CO188" s="27"/>
      <c r="CP188" s="27"/>
      <c r="CQ188" s="7">
        <f>CO188+CP188</f>
        <v>0</v>
      </c>
      <c r="CR188" s="7">
        <f>CK188+CM188+CO188</f>
        <v>0</v>
      </c>
      <c r="CS188" s="7">
        <f>CL188+CN188+CQ188</f>
        <v>0</v>
      </c>
      <c r="CT188" s="27"/>
      <c r="CU188" s="27"/>
      <c r="CV188" s="7">
        <f>CT188+CU188</f>
        <v>0</v>
      </c>
      <c r="CW188" s="27"/>
      <c r="CX188" s="27"/>
      <c r="CY188" s="7">
        <f>CW188+CX188</f>
        <v>0</v>
      </c>
      <c r="CZ188" s="27"/>
      <c r="DA188" s="27"/>
      <c r="DB188" s="7">
        <f>CZ188+DA188</f>
        <v>0</v>
      </c>
      <c r="DC188" s="27"/>
      <c r="DD188" s="7">
        <f>DC188</f>
        <v>0</v>
      </c>
      <c r="DE188" s="27"/>
      <c r="DF188" s="7">
        <f>DE188</f>
        <v>0</v>
      </c>
      <c r="DG188" s="27"/>
      <c r="DH188" s="7">
        <f>DG188</f>
        <v>0</v>
      </c>
      <c r="DI188" s="27"/>
      <c r="DJ188" s="7">
        <f>DI188</f>
        <v>0</v>
      </c>
      <c r="DK188" s="27"/>
      <c r="DL188" s="7">
        <f>DK188</f>
        <v>0</v>
      </c>
      <c r="DM188" s="27"/>
      <c r="DN188" s="7">
        <f>DM188</f>
        <v>0</v>
      </c>
      <c r="DO188" s="27"/>
      <c r="DP188" s="14">
        <f>CK188+CM188+CO188+CT188+CW188+CZ188+DC188+DE188+DG188+DI188+DK188+DM188</f>
        <v>0</v>
      </c>
      <c r="DQ188" s="14">
        <f>CL188+CN188+CQ188+CV188+CY188+DB188</f>
        <v>0</v>
      </c>
      <c r="DR188" s="7"/>
      <c r="DS188" s="7">
        <f>AG188-DP188</f>
        <v>200000</v>
      </c>
      <c r="DT188" s="7">
        <f>AG188-DQ188</f>
        <v>200000</v>
      </c>
      <c r="DU188" s="15">
        <f>DP188/AG188</f>
        <v>0</v>
      </c>
      <c r="DV188" s="15">
        <f>DQ188/AG188</f>
        <v>0</v>
      </c>
      <c r="DW188" s="15"/>
      <c r="DX188" s="15"/>
      <c r="DY188" s="7"/>
      <c r="DZ188" s="27"/>
      <c r="EA188" s="319"/>
    </row>
    <row r="189" spans="1:131" s="10" customFormat="1" hidden="1" x14ac:dyDescent="0.25">
      <c r="A189" s="24" t="s">
        <v>84</v>
      </c>
      <c r="B189" s="24" t="s">
        <v>673</v>
      </c>
      <c r="C189" s="24"/>
      <c r="E189" s="3">
        <v>710030</v>
      </c>
      <c r="F189" s="353">
        <v>4</v>
      </c>
      <c r="G189" s="359" t="s">
        <v>187</v>
      </c>
      <c r="H189" s="353">
        <v>1531</v>
      </c>
      <c r="I189" s="9" t="s">
        <v>32</v>
      </c>
      <c r="J189" s="10" t="s">
        <v>32</v>
      </c>
      <c r="K189" s="3">
        <v>4</v>
      </c>
      <c r="L189" s="11" t="s">
        <v>187</v>
      </c>
      <c r="M189" s="45"/>
      <c r="N189" s="11" t="s">
        <v>186</v>
      </c>
      <c r="O189" s="11" t="s">
        <v>192</v>
      </c>
      <c r="P189" s="11" t="s">
        <v>187</v>
      </c>
      <c r="Q189" s="3" t="s">
        <v>187</v>
      </c>
      <c r="R189" s="3">
        <v>260</v>
      </c>
      <c r="S189" s="3" t="s">
        <v>188</v>
      </c>
      <c r="T189" s="12" t="s">
        <v>260</v>
      </c>
      <c r="U189" s="12" t="s">
        <v>222</v>
      </c>
      <c r="V189" s="12"/>
      <c r="W189" s="12" t="s">
        <v>2</v>
      </c>
      <c r="X189" s="8"/>
      <c r="Y189" s="13" t="s">
        <v>69</v>
      </c>
      <c r="Z189" s="349" t="s">
        <v>94</v>
      </c>
      <c r="AA189" s="10" t="s">
        <v>664</v>
      </c>
      <c r="AB189" s="12" t="s">
        <v>8</v>
      </c>
      <c r="AC189" s="27"/>
      <c r="AD189" s="27"/>
      <c r="AE189" s="7">
        <f t="shared" ref="AE189:AE206" si="213">AC189+AD189</f>
        <v>0</v>
      </c>
      <c r="AF189" s="7"/>
      <c r="AG189" s="7">
        <f t="shared" si="150"/>
        <v>0</v>
      </c>
      <c r="AH189" s="33"/>
      <c r="AI189" s="7">
        <f t="shared" si="151"/>
        <v>0</v>
      </c>
      <c r="AJ189" s="409"/>
      <c r="AK189" s="27">
        <v>0</v>
      </c>
      <c r="AL189" s="36"/>
      <c r="AM189" s="33">
        <f t="shared" si="143"/>
        <v>0</v>
      </c>
      <c r="AN189" s="36"/>
      <c r="AO189" s="36"/>
      <c r="AP189" s="7">
        <f t="shared" si="132"/>
        <v>0</v>
      </c>
      <c r="AQ189" s="36"/>
      <c r="AR189" s="36"/>
      <c r="AS189" s="7">
        <f t="shared" si="148"/>
        <v>0</v>
      </c>
      <c r="AT189" s="36"/>
      <c r="AU189" s="36"/>
      <c r="AV189" s="7">
        <f t="shared" si="149"/>
        <v>0</v>
      </c>
      <c r="AW189" s="7"/>
      <c r="AX189" s="7"/>
      <c r="AY189" s="7">
        <f t="shared" si="199"/>
        <v>0</v>
      </c>
      <c r="AZ189" s="7"/>
      <c r="BA189" s="7"/>
      <c r="BB189" s="7">
        <f t="shared" si="135"/>
        <v>0</v>
      </c>
      <c r="BC189" s="7"/>
      <c r="BD189" s="7"/>
      <c r="BE189" s="7">
        <f t="shared" si="136"/>
        <v>0</v>
      </c>
      <c r="BF189" s="7"/>
      <c r="BG189" s="7"/>
      <c r="BH189" s="7">
        <f t="shared" si="137"/>
        <v>0</v>
      </c>
      <c r="BI189" s="7"/>
      <c r="BJ189" s="7"/>
      <c r="BK189" s="7">
        <f t="shared" si="138"/>
        <v>0</v>
      </c>
      <c r="BL189" s="7"/>
      <c r="BM189" s="7"/>
      <c r="BN189" s="7">
        <f t="shared" si="139"/>
        <v>0</v>
      </c>
      <c r="BO189" s="7"/>
      <c r="BP189" s="7"/>
      <c r="BQ189" s="7">
        <f t="shared" si="140"/>
        <v>0</v>
      </c>
      <c r="BR189" s="7"/>
      <c r="BS189" s="7"/>
      <c r="BT189" s="7">
        <f t="shared" si="141"/>
        <v>0</v>
      </c>
      <c r="BU189" s="7"/>
      <c r="BV189" s="7"/>
      <c r="BW189" s="7">
        <f t="shared" si="142"/>
        <v>0</v>
      </c>
      <c r="BX189" s="7"/>
      <c r="BY189" s="7">
        <f t="shared" si="205"/>
        <v>0</v>
      </c>
      <c r="BZ189" s="7">
        <f t="shared" si="206"/>
        <v>0</v>
      </c>
      <c r="CA189" s="7"/>
      <c r="CB189" s="7">
        <f t="shared" si="207"/>
        <v>0</v>
      </c>
      <c r="CC189" s="7">
        <f t="shared" si="208"/>
        <v>0</v>
      </c>
      <c r="CD189" s="15" t="e">
        <f t="shared" si="209"/>
        <v>#DIV/0!</v>
      </c>
      <c r="CE189" s="15" t="e">
        <f t="shared" si="210"/>
        <v>#DIV/0!</v>
      </c>
      <c r="CF189" s="451"/>
      <c r="CG189" s="27">
        <v>0</v>
      </c>
      <c r="CH189" s="7">
        <v>1800000</v>
      </c>
      <c r="CI189" s="7"/>
      <c r="CJ189" s="7"/>
      <c r="CK189" s="27"/>
      <c r="CL189" s="7"/>
      <c r="CM189" s="27"/>
      <c r="CN189" s="7"/>
      <c r="CO189" s="27"/>
      <c r="CP189" s="27"/>
      <c r="CQ189" s="7"/>
      <c r="CR189" s="7"/>
      <c r="CS189" s="7"/>
      <c r="CT189" s="27"/>
      <c r="CU189" s="27"/>
      <c r="CV189" s="7"/>
      <c r="CW189" s="27"/>
      <c r="CX189" s="27"/>
      <c r="CY189" s="7"/>
      <c r="CZ189" s="27"/>
      <c r="DA189" s="27"/>
      <c r="DB189" s="7"/>
      <c r="DC189" s="27"/>
      <c r="DD189" s="7"/>
      <c r="DE189" s="27"/>
      <c r="DF189" s="7"/>
      <c r="DG189" s="27"/>
      <c r="DH189" s="7"/>
      <c r="DI189" s="27"/>
      <c r="DJ189" s="7"/>
      <c r="DK189" s="27"/>
      <c r="DL189" s="7"/>
      <c r="DM189" s="27"/>
      <c r="DN189" s="7"/>
      <c r="DO189" s="27"/>
      <c r="DP189" s="14"/>
      <c r="DQ189" s="14"/>
      <c r="DR189" s="7"/>
      <c r="DS189" s="7"/>
      <c r="DT189" s="7"/>
      <c r="DU189" s="15"/>
      <c r="DV189" s="15"/>
      <c r="DW189" s="15"/>
      <c r="DX189" s="15"/>
      <c r="DY189" s="7"/>
      <c r="DZ189" s="27"/>
      <c r="EA189" s="319"/>
    </row>
    <row r="190" spans="1:131" s="10" customFormat="1" hidden="1" x14ac:dyDescent="0.25">
      <c r="A190" s="24" t="s">
        <v>84</v>
      </c>
      <c r="B190" s="24" t="s">
        <v>674</v>
      </c>
      <c r="C190" s="24"/>
      <c r="E190" s="3">
        <v>725055</v>
      </c>
      <c r="F190" s="353">
        <v>4</v>
      </c>
      <c r="G190" s="359" t="s">
        <v>187</v>
      </c>
      <c r="H190" s="353">
        <v>1542</v>
      </c>
      <c r="I190" s="9" t="s">
        <v>32</v>
      </c>
      <c r="J190" s="10" t="s">
        <v>32</v>
      </c>
      <c r="K190" s="3">
        <v>4</v>
      </c>
      <c r="L190" s="11" t="s">
        <v>187</v>
      </c>
      <c r="M190" s="45"/>
      <c r="N190" s="11" t="s">
        <v>186</v>
      </c>
      <c r="O190" s="11" t="s">
        <v>192</v>
      </c>
      <c r="P190" s="11" t="s">
        <v>187</v>
      </c>
      <c r="Q190" s="3" t="s">
        <v>187</v>
      </c>
      <c r="R190" s="3">
        <v>260</v>
      </c>
      <c r="S190" s="3" t="s">
        <v>188</v>
      </c>
      <c r="T190" s="12" t="s">
        <v>260</v>
      </c>
      <c r="U190" s="12" t="s">
        <v>222</v>
      </c>
      <c r="V190" s="12"/>
      <c r="W190" s="12" t="s">
        <v>2</v>
      </c>
      <c r="X190" s="8"/>
      <c r="Y190" s="13" t="s">
        <v>69</v>
      </c>
      <c r="Z190" s="349" t="s">
        <v>94</v>
      </c>
      <c r="AA190" s="10" t="s">
        <v>414</v>
      </c>
      <c r="AB190" s="12" t="s">
        <v>8</v>
      </c>
      <c r="AC190" s="27"/>
      <c r="AD190" s="27"/>
      <c r="AE190" s="7">
        <f t="shared" si="213"/>
        <v>0</v>
      </c>
      <c r="AF190" s="7"/>
      <c r="AG190" s="7">
        <f t="shared" si="150"/>
        <v>0</v>
      </c>
      <c r="AH190" s="33"/>
      <c r="AI190" s="7">
        <f t="shared" si="151"/>
        <v>0</v>
      </c>
      <c r="AJ190" s="409"/>
      <c r="AK190" s="27">
        <v>0</v>
      </c>
      <c r="AL190" s="36"/>
      <c r="AM190" s="33">
        <f t="shared" si="143"/>
        <v>0</v>
      </c>
      <c r="AN190" s="36"/>
      <c r="AO190" s="36"/>
      <c r="AP190" s="7">
        <f t="shared" si="132"/>
        <v>0</v>
      </c>
      <c r="AQ190" s="36"/>
      <c r="AR190" s="36"/>
      <c r="AS190" s="7">
        <f t="shared" si="148"/>
        <v>0</v>
      </c>
      <c r="AT190" s="36"/>
      <c r="AU190" s="36"/>
      <c r="AV190" s="7">
        <f t="shared" si="149"/>
        <v>0</v>
      </c>
      <c r="AW190" s="7"/>
      <c r="AX190" s="7"/>
      <c r="AY190" s="7">
        <f t="shared" si="199"/>
        <v>0</v>
      </c>
      <c r="AZ190" s="7"/>
      <c r="BA190" s="7"/>
      <c r="BB190" s="7">
        <f t="shared" si="135"/>
        <v>0</v>
      </c>
      <c r="BC190" s="7"/>
      <c r="BD190" s="7"/>
      <c r="BE190" s="7">
        <f t="shared" si="136"/>
        <v>0</v>
      </c>
      <c r="BF190" s="7"/>
      <c r="BG190" s="7"/>
      <c r="BH190" s="7">
        <f t="shared" si="137"/>
        <v>0</v>
      </c>
      <c r="BI190" s="7"/>
      <c r="BJ190" s="7"/>
      <c r="BK190" s="7">
        <f t="shared" si="138"/>
        <v>0</v>
      </c>
      <c r="BL190" s="7"/>
      <c r="BM190" s="7"/>
      <c r="BN190" s="7">
        <f t="shared" si="139"/>
        <v>0</v>
      </c>
      <c r="BO190" s="7"/>
      <c r="BP190" s="7"/>
      <c r="BQ190" s="7">
        <f t="shared" si="140"/>
        <v>0</v>
      </c>
      <c r="BR190" s="7"/>
      <c r="BS190" s="7"/>
      <c r="BT190" s="7">
        <f t="shared" si="141"/>
        <v>0</v>
      </c>
      <c r="BU190" s="7"/>
      <c r="BV190" s="7"/>
      <c r="BW190" s="7">
        <f t="shared" si="142"/>
        <v>0</v>
      </c>
      <c r="BX190" s="7"/>
      <c r="BY190" s="7">
        <f t="shared" si="205"/>
        <v>0</v>
      </c>
      <c r="BZ190" s="7">
        <f t="shared" si="206"/>
        <v>0</v>
      </c>
      <c r="CA190" s="7"/>
      <c r="CB190" s="7">
        <f t="shared" si="207"/>
        <v>0</v>
      </c>
      <c r="CC190" s="7">
        <f t="shared" si="208"/>
        <v>0</v>
      </c>
      <c r="CD190" s="15" t="e">
        <f t="shared" si="209"/>
        <v>#DIV/0!</v>
      </c>
      <c r="CE190" s="15" t="e">
        <f t="shared" si="210"/>
        <v>#DIV/0!</v>
      </c>
      <c r="CF190" s="451"/>
      <c r="CG190" s="27">
        <v>0</v>
      </c>
      <c r="CH190" s="7">
        <v>800000</v>
      </c>
      <c r="CI190" s="7"/>
      <c r="CJ190" s="7"/>
      <c r="CK190" s="27"/>
      <c r="CL190" s="7"/>
      <c r="CM190" s="27"/>
      <c r="CN190" s="7"/>
      <c r="CO190" s="27"/>
      <c r="CP190" s="27"/>
      <c r="CQ190" s="7"/>
      <c r="CR190" s="7"/>
      <c r="CS190" s="7"/>
      <c r="CT190" s="27"/>
      <c r="CU190" s="27"/>
      <c r="CV190" s="7"/>
      <c r="CW190" s="27"/>
      <c r="CX190" s="27"/>
      <c r="CY190" s="7"/>
      <c r="CZ190" s="27"/>
      <c r="DA190" s="27"/>
      <c r="DB190" s="7"/>
      <c r="DC190" s="27"/>
      <c r="DD190" s="7"/>
      <c r="DE190" s="27"/>
      <c r="DF190" s="7"/>
      <c r="DG190" s="27"/>
      <c r="DH190" s="7"/>
      <c r="DI190" s="27"/>
      <c r="DJ190" s="7"/>
      <c r="DK190" s="27"/>
      <c r="DL190" s="7"/>
      <c r="DM190" s="27"/>
      <c r="DN190" s="7"/>
      <c r="DO190" s="27"/>
      <c r="DP190" s="14"/>
      <c r="DQ190" s="14"/>
      <c r="DR190" s="7"/>
      <c r="DS190" s="7"/>
      <c r="DT190" s="7"/>
      <c r="DU190" s="15"/>
      <c r="DV190" s="15"/>
      <c r="DW190" s="15"/>
      <c r="DX190" s="15"/>
      <c r="DY190" s="7"/>
      <c r="DZ190" s="27"/>
      <c r="EA190" s="319"/>
    </row>
    <row r="191" spans="1:131" s="10" customFormat="1" hidden="1" x14ac:dyDescent="0.25">
      <c r="A191" s="24" t="s">
        <v>84</v>
      </c>
      <c r="B191" s="24" t="s">
        <v>674</v>
      </c>
      <c r="C191" s="24"/>
      <c r="E191" s="3">
        <v>725055</v>
      </c>
      <c r="F191" s="353">
        <v>4</v>
      </c>
      <c r="G191" s="359" t="s">
        <v>187</v>
      </c>
      <c r="H191" s="353">
        <v>1543</v>
      </c>
      <c r="I191" s="9" t="s">
        <v>32</v>
      </c>
      <c r="J191" s="10" t="s">
        <v>32</v>
      </c>
      <c r="K191" s="3">
        <v>4</v>
      </c>
      <c r="L191" s="11" t="s">
        <v>187</v>
      </c>
      <c r="M191" s="45"/>
      <c r="N191" s="11" t="s">
        <v>186</v>
      </c>
      <c r="O191" s="11" t="s">
        <v>192</v>
      </c>
      <c r="P191" s="11" t="s">
        <v>187</v>
      </c>
      <c r="Q191" s="3" t="s">
        <v>187</v>
      </c>
      <c r="R191" s="3">
        <v>260</v>
      </c>
      <c r="S191" s="3" t="s">
        <v>188</v>
      </c>
      <c r="T191" s="12" t="s">
        <v>260</v>
      </c>
      <c r="U191" s="12" t="s">
        <v>222</v>
      </c>
      <c r="V191" s="12"/>
      <c r="W191" s="12" t="s">
        <v>2</v>
      </c>
      <c r="X191" s="8"/>
      <c r="Y191" s="13" t="s">
        <v>69</v>
      </c>
      <c r="Z191" s="349" t="s">
        <v>94</v>
      </c>
      <c r="AA191" s="10" t="s">
        <v>415</v>
      </c>
      <c r="AB191" s="12" t="s">
        <v>8</v>
      </c>
      <c r="AC191" s="27"/>
      <c r="AD191" s="27"/>
      <c r="AE191" s="7">
        <f t="shared" si="213"/>
        <v>0</v>
      </c>
      <c r="AF191" s="7"/>
      <c r="AG191" s="7">
        <f t="shared" si="150"/>
        <v>0</v>
      </c>
      <c r="AH191" s="33"/>
      <c r="AI191" s="7">
        <f t="shared" si="151"/>
        <v>0</v>
      </c>
      <c r="AJ191" s="409"/>
      <c r="AK191" s="27">
        <v>0</v>
      </c>
      <c r="AL191" s="36"/>
      <c r="AM191" s="33">
        <f t="shared" si="143"/>
        <v>0</v>
      </c>
      <c r="AN191" s="36"/>
      <c r="AO191" s="36"/>
      <c r="AP191" s="7">
        <f t="shared" si="132"/>
        <v>0</v>
      </c>
      <c r="AQ191" s="36"/>
      <c r="AR191" s="36"/>
      <c r="AS191" s="7">
        <f t="shared" si="148"/>
        <v>0</v>
      </c>
      <c r="AT191" s="36"/>
      <c r="AU191" s="36"/>
      <c r="AV191" s="7">
        <f t="shared" si="149"/>
        <v>0</v>
      </c>
      <c r="AW191" s="7"/>
      <c r="AX191" s="7"/>
      <c r="AY191" s="7">
        <f t="shared" si="199"/>
        <v>0</v>
      </c>
      <c r="AZ191" s="7"/>
      <c r="BA191" s="7"/>
      <c r="BB191" s="7">
        <f t="shared" si="135"/>
        <v>0</v>
      </c>
      <c r="BC191" s="7"/>
      <c r="BD191" s="7"/>
      <c r="BE191" s="7">
        <f t="shared" si="136"/>
        <v>0</v>
      </c>
      <c r="BF191" s="7"/>
      <c r="BG191" s="7"/>
      <c r="BH191" s="7">
        <f t="shared" si="137"/>
        <v>0</v>
      </c>
      <c r="BI191" s="7"/>
      <c r="BJ191" s="7"/>
      <c r="BK191" s="7">
        <f t="shared" si="138"/>
        <v>0</v>
      </c>
      <c r="BL191" s="7"/>
      <c r="BM191" s="7"/>
      <c r="BN191" s="7">
        <f t="shared" si="139"/>
        <v>0</v>
      </c>
      <c r="BO191" s="7"/>
      <c r="BP191" s="7"/>
      <c r="BQ191" s="7">
        <f t="shared" si="140"/>
        <v>0</v>
      </c>
      <c r="BR191" s="7"/>
      <c r="BS191" s="7"/>
      <c r="BT191" s="7">
        <f t="shared" si="141"/>
        <v>0</v>
      </c>
      <c r="BU191" s="7"/>
      <c r="BV191" s="7"/>
      <c r="BW191" s="7">
        <f t="shared" si="142"/>
        <v>0</v>
      </c>
      <c r="BX191" s="7"/>
      <c r="BY191" s="7">
        <f t="shared" si="205"/>
        <v>0</v>
      </c>
      <c r="BZ191" s="7">
        <f t="shared" si="206"/>
        <v>0</v>
      </c>
      <c r="CA191" s="7"/>
      <c r="CB191" s="7">
        <f t="shared" si="207"/>
        <v>0</v>
      </c>
      <c r="CC191" s="7">
        <f t="shared" si="208"/>
        <v>0</v>
      </c>
      <c r="CD191" s="15" t="e">
        <f t="shared" si="209"/>
        <v>#DIV/0!</v>
      </c>
      <c r="CE191" s="15" t="e">
        <f t="shared" si="210"/>
        <v>#DIV/0!</v>
      </c>
      <c r="CF191" s="451"/>
      <c r="CG191" s="27">
        <v>0</v>
      </c>
      <c r="CH191" s="7">
        <v>500000</v>
      </c>
      <c r="CI191" s="7"/>
      <c r="CJ191" s="7"/>
      <c r="CK191" s="27"/>
      <c r="CL191" s="7"/>
      <c r="CM191" s="27"/>
      <c r="CN191" s="7"/>
      <c r="CO191" s="27"/>
      <c r="CP191" s="27"/>
      <c r="CQ191" s="7"/>
      <c r="CR191" s="7"/>
      <c r="CS191" s="7"/>
      <c r="CT191" s="27"/>
      <c r="CU191" s="27"/>
      <c r="CV191" s="7"/>
      <c r="CW191" s="27"/>
      <c r="CX191" s="27"/>
      <c r="CY191" s="7"/>
      <c r="CZ191" s="27"/>
      <c r="DA191" s="27"/>
      <c r="DB191" s="7"/>
      <c r="DC191" s="27"/>
      <c r="DD191" s="7"/>
      <c r="DE191" s="27"/>
      <c r="DF191" s="7"/>
      <c r="DG191" s="27"/>
      <c r="DH191" s="7"/>
      <c r="DI191" s="27"/>
      <c r="DJ191" s="7"/>
      <c r="DK191" s="27"/>
      <c r="DL191" s="7"/>
      <c r="DM191" s="27"/>
      <c r="DN191" s="7"/>
      <c r="DO191" s="27"/>
      <c r="DP191" s="14"/>
      <c r="DQ191" s="14"/>
      <c r="DR191" s="7"/>
      <c r="DS191" s="7"/>
      <c r="DT191" s="7"/>
      <c r="DU191" s="15"/>
      <c r="DV191" s="15"/>
      <c r="DW191" s="15"/>
      <c r="DX191" s="15"/>
      <c r="DY191" s="7"/>
      <c r="DZ191" s="27"/>
      <c r="EA191" s="319"/>
    </row>
    <row r="192" spans="1:131" s="10" customFormat="1" hidden="1" x14ac:dyDescent="0.25">
      <c r="A192" s="24" t="s">
        <v>84</v>
      </c>
      <c r="B192" s="24" t="s">
        <v>672</v>
      </c>
      <c r="C192" s="24"/>
      <c r="E192" s="3">
        <v>725025</v>
      </c>
      <c r="F192" s="353">
        <v>4</v>
      </c>
      <c r="G192" s="359" t="s">
        <v>187</v>
      </c>
      <c r="H192" s="353">
        <v>1537</v>
      </c>
      <c r="I192" s="9" t="s">
        <v>32</v>
      </c>
      <c r="J192" s="10" t="s">
        <v>32</v>
      </c>
      <c r="K192" s="3">
        <v>4</v>
      </c>
      <c r="L192" s="11" t="s">
        <v>187</v>
      </c>
      <c r="M192" s="45"/>
      <c r="N192" s="11" t="s">
        <v>186</v>
      </c>
      <c r="O192" s="11" t="s">
        <v>192</v>
      </c>
      <c r="P192" s="11" t="s">
        <v>187</v>
      </c>
      <c r="Q192" s="3" t="s">
        <v>187</v>
      </c>
      <c r="R192" s="3">
        <v>260</v>
      </c>
      <c r="S192" s="3" t="s">
        <v>188</v>
      </c>
      <c r="T192" s="12" t="s">
        <v>260</v>
      </c>
      <c r="U192" s="12" t="s">
        <v>222</v>
      </c>
      <c r="V192" s="12"/>
      <c r="W192" s="12" t="s">
        <v>2</v>
      </c>
      <c r="X192" s="8"/>
      <c r="Y192" s="13" t="s">
        <v>69</v>
      </c>
      <c r="Z192" s="349" t="s">
        <v>94</v>
      </c>
      <c r="AA192" s="10" t="s">
        <v>416</v>
      </c>
      <c r="AB192" s="12" t="s">
        <v>8</v>
      </c>
      <c r="AC192" s="27"/>
      <c r="AD192" s="27"/>
      <c r="AE192" s="7">
        <f t="shared" si="213"/>
        <v>0</v>
      </c>
      <c r="AF192" s="7"/>
      <c r="AG192" s="7">
        <f t="shared" si="150"/>
        <v>0</v>
      </c>
      <c r="AH192" s="33"/>
      <c r="AI192" s="7">
        <f t="shared" si="151"/>
        <v>0</v>
      </c>
      <c r="AJ192" s="409"/>
      <c r="AK192" s="27">
        <v>0</v>
      </c>
      <c r="AL192" s="36"/>
      <c r="AM192" s="33">
        <f t="shared" si="143"/>
        <v>0</v>
      </c>
      <c r="AN192" s="36"/>
      <c r="AO192" s="36"/>
      <c r="AP192" s="7">
        <f t="shared" si="132"/>
        <v>0</v>
      </c>
      <c r="AQ192" s="36"/>
      <c r="AR192" s="36"/>
      <c r="AS192" s="7">
        <f t="shared" si="148"/>
        <v>0</v>
      </c>
      <c r="AT192" s="36"/>
      <c r="AU192" s="36"/>
      <c r="AV192" s="7">
        <f t="shared" si="149"/>
        <v>0</v>
      </c>
      <c r="AW192" s="7"/>
      <c r="AX192" s="7"/>
      <c r="AY192" s="7">
        <f t="shared" si="199"/>
        <v>0</v>
      </c>
      <c r="AZ192" s="7"/>
      <c r="BA192" s="7"/>
      <c r="BB192" s="7">
        <f t="shared" si="135"/>
        <v>0</v>
      </c>
      <c r="BC192" s="7"/>
      <c r="BD192" s="7"/>
      <c r="BE192" s="7">
        <f t="shared" si="136"/>
        <v>0</v>
      </c>
      <c r="BF192" s="7"/>
      <c r="BG192" s="7"/>
      <c r="BH192" s="7">
        <f t="shared" si="137"/>
        <v>0</v>
      </c>
      <c r="BI192" s="7"/>
      <c r="BJ192" s="7"/>
      <c r="BK192" s="7">
        <f t="shared" si="138"/>
        <v>0</v>
      </c>
      <c r="BL192" s="7"/>
      <c r="BM192" s="7"/>
      <c r="BN192" s="7">
        <f t="shared" si="139"/>
        <v>0</v>
      </c>
      <c r="BO192" s="7"/>
      <c r="BP192" s="7"/>
      <c r="BQ192" s="7">
        <f t="shared" si="140"/>
        <v>0</v>
      </c>
      <c r="BR192" s="7"/>
      <c r="BS192" s="7"/>
      <c r="BT192" s="7">
        <f t="shared" si="141"/>
        <v>0</v>
      </c>
      <c r="BU192" s="7"/>
      <c r="BV192" s="7"/>
      <c r="BW192" s="7">
        <f t="shared" si="142"/>
        <v>0</v>
      </c>
      <c r="BX192" s="7"/>
      <c r="BY192" s="7">
        <f t="shared" si="205"/>
        <v>0</v>
      </c>
      <c r="BZ192" s="7">
        <f t="shared" si="206"/>
        <v>0</v>
      </c>
      <c r="CA192" s="7"/>
      <c r="CB192" s="7">
        <f t="shared" si="207"/>
        <v>0</v>
      </c>
      <c r="CC192" s="7">
        <f t="shared" si="208"/>
        <v>0</v>
      </c>
      <c r="CD192" s="15" t="e">
        <f t="shared" si="209"/>
        <v>#DIV/0!</v>
      </c>
      <c r="CE192" s="15" t="e">
        <f t="shared" si="210"/>
        <v>#DIV/0!</v>
      </c>
      <c r="CF192" s="451"/>
      <c r="CG192" s="27">
        <v>0</v>
      </c>
      <c r="CH192" s="7">
        <v>200000</v>
      </c>
      <c r="CI192" s="7"/>
      <c r="CJ192" s="7"/>
      <c r="CK192" s="27"/>
      <c r="CL192" s="7"/>
      <c r="CM192" s="27"/>
      <c r="CN192" s="7"/>
      <c r="CO192" s="27"/>
      <c r="CP192" s="27"/>
      <c r="CQ192" s="7"/>
      <c r="CR192" s="7"/>
      <c r="CS192" s="7"/>
      <c r="CT192" s="27"/>
      <c r="CU192" s="27"/>
      <c r="CV192" s="7"/>
      <c r="CW192" s="27"/>
      <c r="CX192" s="27"/>
      <c r="CY192" s="7"/>
      <c r="CZ192" s="27"/>
      <c r="DA192" s="27"/>
      <c r="DB192" s="7"/>
      <c r="DC192" s="27"/>
      <c r="DD192" s="7"/>
      <c r="DE192" s="27"/>
      <c r="DF192" s="7"/>
      <c r="DG192" s="27"/>
      <c r="DH192" s="7"/>
      <c r="DI192" s="27"/>
      <c r="DJ192" s="7"/>
      <c r="DK192" s="27"/>
      <c r="DL192" s="7"/>
      <c r="DM192" s="27"/>
      <c r="DN192" s="7"/>
      <c r="DO192" s="27"/>
      <c r="DP192" s="14"/>
      <c r="DQ192" s="14"/>
      <c r="DR192" s="7"/>
      <c r="DS192" s="7"/>
      <c r="DT192" s="7"/>
      <c r="DU192" s="15"/>
      <c r="DV192" s="15"/>
      <c r="DW192" s="15"/>
      <c r="DX192" s="15"/>
      <c r="DY192" s="7"/>
      <c r="DZ192" s="27"/>
      <c r="EA192" s="319"/>
    </row>
    <row r="193" spans="1:131" s="10" customFormat="1" hidden="1" x14ac:dyDescent="0.25">
      <c r="A193" s="24" t="s">
        <v>84</v>
      </c>
      <c r="B193" s="24" t="s">
        <v>672</v>
      </c>
      <c r="C193" s="24"/>
      <c r="E193" s="3">
        <v>725025</v>
      </c>
      <c r="F193" s="353">
        <v>4</v>
      </c>
      <c r="G193" s="359" t="s">
        <v>187</v>
      </c>
      <c r="H193" s="353">
        <v>1538</v>
      </c>
      <c r="I193" s="9" t="s">
        <v>32</v>
      </c>
      <c r="J193" s="10" t="s">
        <v>32</v>
      </c>
      <c r="K193" s="3">
        <v>4</v>
      </c>
      <c r="L193" s="11" t="s">
        <v>187</v>
      </c>
      <c r="M193" s="45"/>
      <c r="N193" s="11" t="s">
        <v>186</v>
      </c>
      <c r="O193" s="11" t="s">
        <v>192</v>
      </c>
      <c r="P193" s="11" t="s">
        <v>187</v>
      </c>
      <c r="Q193" s="3" t="s">
        <v>187</v>
      </c>
      <c r="R193" s="3">
        <v>260</v>
      </c>
      <c r="S193" s="3" t="s">
        <v>188</v>
      </c>
      <c r="T193" s="12" t="s">
        <v>260</v>
      </c>
      <c r="U193" s="12" t="s">
        <v>222</v>
      </c>
      <c r="V193" s="12"/>
      <c r="W193" s="12" t="s">
        <v>2</v>
      </c>
      <c r="X193" s="8"/>
      <c r="Y193" s="13" t="s">
        <v>69</v>
      </c>
      <c r="Z193" s="349" t="s">
        <v>94</v>
      </c>
      <c r="AA193" s="10" t="s">
        <v>417</v>
      </c>
      <c r="AB193" s="12" t="s">
        <v>8</v>
      </c>
      <c r="AC193" s="27"/>
      <c r="AD193" s="27"/>
      <c r="AE193" s="7">
        <f t="shared" si="213"/>
        <v>0</v>
      </c>
      <c r="AF193" s="7"/>
      <c r="AG193" s="7">
        <f t="shared" si="150"/>
        <v>0</v>
      </c>
      <c r="AH193" s="33"/>
      <c r="AI193" s="7">
        <f t="shared" si="151"/>
        <v>0</v>
      </c>
      <c r="AJ193" s="409"/>
      <c r="AK193" s="27">
        <v>0</v>
      </c>
      <c r="AL193" s="36"/>
      <c r="AM193" s="33">
        <f t="shared" si="143"/>
        <v>0</v>
      </c>
      <c r="AN193" s="36"/>
      <c r="AO193" s="36"/>
      <c r="AP193" s="7">
        <f t="shared" si="132"/>
        <v>0</v>
      </c>
      <c r="AQ193" s="36"/>
      <c r="AR193" s="36"/>
      <c r="AS193" s="7">
        <f t="shared" si="148"/>
        <v>0</v>
      </c>
      <c r="AT193" s="36"/>
      <c r="AU193" s="36"/>
      <c r="AV193" s="7">
        <f t="shared" si="149"/>
        <v>0</v>
      </c>
      <c r="AW193" s="7"/>
      <c r="AX193" s="7"/>
      <c r="AY193" s="7">
        <f t="shared" si="199"/>
        <v>0</v>
      </c>
      <c r="AZ193" s="7"/>
      <c r="BA193" s="7"/>
      <c r="BB193" s="7">
        <f t="shared" si="135"/>
        <v>0</v>
      </c>
      <c r="BC193" s="7"/>
      <c r="BD193" s="7"/>
      <c r="BE193" s="7">
        <f t="shared" si="136"/>
        <v>0</v>
      </c>
      <c r="BF193" s="7"/>
      <c r="BG193" s="7"/>
      <c r="BH193" s="7">
        <f t="shared" si="137"/>
        <v>0</v>
      </c>
      <c r="BI193" s="7"/>
      <c r="BJ193" s="7"/>
      <c r="BK193" s="7">
        <f t="shared" si="138"/>
        <v>0</v>
      </c>
      <c r="BL193" s="7"/>
      <c r="BM193" s="7"/>
      <c r="BN193" s="7">
        <f t="shared" si="139"/>
        <v>0</v>
      </c>
      <c r="BO193" s="7"/>
      <c r="BP193" s="7"/>
      <c r="BQ193" s="7">
        <f t="shared" si="140"/>
        <v>0</v>
      </c>
      <c r="BR193" s="7"/>
      <c r="BS193" s="7"/>
      <c r="BT193" s="7">
        <f t="shared" si="141"/>
        <v>0</v>
      </c>
      <c r="BU193" s="7"/>
      <c r="BV193" s="7"/>
      <c r="BW193" s="7">
        <f t="shared" si="142"/>
        <v>0</v>
      </c>
      <c r="BX193" s="7"/>
      <c r="BY193" s="7">
        <f t="shared" si="205"/>
        <v>0</v>
      </c>
      <c r="BZ193" s="7">
        <f t="shared" si="206"/>
        <v>0</v>
      </c>
      <c r="CA193" s="7"/>
      <c r="CB193" s="7">
        <f t="shared" si="207"/>
        <v>0</v>
      </c>
      <c r="CC193" s="7">
        <f t="shared" si="208"/>
        <v>0</v>
      </c>
      <c r="CD193" s="15" t="e">
        <f t="shared" si="209"/>
        <v>#DIV/0!</v>
      </c>
      <c r="CE193" s="15" t="e">
        <f t="shared" si="210"/>
        <v>#DIV/0!</v>
      </c>
      <c r="CF193" s="451"/>
      <c r="CG193" s="27">
        <v>0</v>
      </c>
      <c r="CH193" s="7">
        <v>1000000</v>
      </c>
      <c r="CI193" s="7"/>
      <c r="CJ193" s="7"/>
      <c r="CK193" s="27"/>
      <c r="CL193" s="7"/>
      <c r="CM193" s="27"/>
      <c r="CN193" s="7"/>
      <c r="CO193" s="27"/>
      <c r="CP193" s="27"/>
      <c r="CQ193" s="7"/>
      <c r="CR193" s="7"/>
      <c r="CS193" s="7"/>
      <c r="CT193" s="27"/>
      <c r="CU193" s="27"/>
      <c r="CV193" s="7"/>
      <c r="CW193" s="27"/>
      <c r="CX193" s="27"/>
      <c r="CY193" s="7"/>
      <c r="CZ193" s="27"/>
      <c r="DA193" s="27"/>
      <c r="DB193" s="7"/>
      <c r="DC193" s="27"/>
      <c r="DD193" s="7"/>
      <c r="DE193" s="27"/>
      <c r="DF193" s="7"/>
      <c r="DG193" s="27"/>
      <c r="DH193" s="7"/>
      <c r="DI193" s="27"/>
      <c r="DJ193" s="7"/>
      <c r="DK193" s="27"/>
      <c r="DL193" s="7"/>
      <c r="DM193" s="27"/>
      <c r="DN193" s="7"/>
      <c r="DO193" s="27"/>
      <c r="DP193" s="14"/>
      <c r="DQ193" s="14"/>
      <c r="DR193" s="7"/>
      <c r="DS193" s="7"/>
      <c r="DT193" s="7"/>
      <c r="DU193" s="15"/>
      <c r="DV193" s="15"/>
      <c r="DW193" s="15"/>
      <c r="DX193" s="15"/>
      <c r="DY193" s="7"/>
      <c r="DZ193" s="27"/>
      <c r="EA193" s="319"/>
    </row>
    <row r="194" spans="1:131" s="10" customFormat="1" hidden="1" x14ac:dyDescent="0.25">
      <c r="A194" s="24" t="s">
        <v>84</v>
      </c>
      <c r="B194" s="24" t="s">
        <v>670</v>
      </c>
      <c r="C194" s="24"/>
      <c r="E194" s="3">
        <v>725010</v>
      </c>
      <c r="F194" s="353">
        <v>4</v>
      </c>
      <c r="G194" s="359" t="s">
        <v>187</v>
      </c>
      <c r="H194" s="353">
        <v>1532</v>
      </c>
      <c r="I194" s="9" t="s">
        <v>32</v>
      </c>
      <c r="J194" s="10" t="s">
        <v>32</v>
      </c>
      <c r="K194" s="3">
        <v>4</v>
      </c>
      <c r="L194" s="11" t="s">
        <v>187</v>
      </c>
      <c r="M194" s="45"/>
      <c r="N194" s="11" t="s">
        <v>186</v>
      </c>
      <c r="O194" s="11" t="s">
        <v>192</v>
      </c>
      <c r="P194" s="11" t="s">
        <v>187</v>
      </c>
      <c r="Q194" s="3" t="s">
        <v>187</v>
      </c>
      <c r="R194" s="3">
        <v>260</v>
      </c>
      <c r="S194" s="3" t="s">
        <v>188</v>
      </c>
      <c r="T194" s="12" t="s">
        <v>260</v>
      </c>
      <c r="U194" s="12" t="s">
        <v>222</v>
      </c>
      <c r="V194" s="12"/>
      <c r="W194" s="12" t="s">
        <v>2</v>
      </c>
      <c r="X194" s="8"/>
      <c r="Y194" s="13" t="s">
        <v>69</v>
      </c>
      <c r="Z194" s="349" t="s">
        <v>94</v>
      </c>
      <c r="AA194" s="10" t="s">
        <v>418</v>
      </c>
      <c r="AB194" s="12" t="s">
        <v>8</v>
      </c>
      <c r="AC194" s="27"/>
      <c r="AD194" s="27"/>
      <c r="AE194" s="7">
        <f t="shared" si="213"/>
        <v>0</v>
      </c>
      <c r="AF194" s="7"/>
      <c r="AG194" s="7">
        <f t="shared" si="150"/>
        <v>0</v>
      </c>
      <c r="AH194" s="33"/>
      <c r="AI194" s="7">
        <f t="shared" si="151"/>
        <v>0</v>
      </c>
      <c r="AJ194" s="409"/>
      <c r="AK194" s="27">
        <v>0</v>
      </c>
      <c r="AL194" s="36"/>
      <c r="AM194" s="33">
        <f t="shared" si="143"/>
        <v>0</v>
      </c>
      <c r="AN194" s="36"/>
      <c r="AO194" s="36"/>
      <c r="AP194" s="7">
        <f t="shared" si="132"/>
        <v>0</v>
      </c>
      <c r="AQ194" s="36"/>
      <c r="AR194" s="36"/>
      <c r="AS194" s="7">
        <f t="shared" si="148"/>
        <v>0</v>
      </c>
      <c r="AT194" s="36"/>
      <c r="AU194" s="36"/>
      <c r="AV194" s="7">
        <f t="shared" si="149"/>
        <v>0</v>
      </c>
      <c r="AW194" s="7"/>
      <c r="AX194" s="7"/>
      <c r="AY194" s="7">
        <f t="shared" si="199"/>
        <v>0</v>
      </c>
      <c r="AZ194" s="7"/>
      <c r="BA194" s="7"/>
      <c r="BB194" s="7">
        <f t="shared" si="135"/>
        <v>0</v>
      </c>
      <c r="BC194" s="7"/>
      <c r="BD194" s="7"/>
      <c r="BE194" s="7">
        <f t="shared" si="136"/>
        <v>0</v>
      </c>
      <c r="BF194" s="7"/>
      <c r="BG194" s="7"/>
      <c r="BH194" s="7">
        <f t="shared" si="137"/>
        <v>0</v>
      </c>
      <c r="BI194" s="7"/>
      <c r="BJ194" s="7"/>
      <c r="BK194" s="7">
        <f t="shared" si="138"/>
        <v>0</v>
      </c>
      <c r="BL194" s="7"/>
      <c r="BM194" s="7"/>
      <c r="BN194" s="7">
        <f t="shared" si="139"/>
        <v>0</v>
      </c>
      <c r="BO194" s="7"/>
      <c r="BP194" s="7"/>
      <c r="BQ194" s="7">
        <f t="shared" si="140"/>
        <v>0</v>
      </c>
      <c r="BR194" s="7"/>
      <c r="BS194" s="7"/>
      <c r="BT194" s="7">
        <f t="shared" si="141"/>
        <v>0</v>
      </c>
      <c r="BU194" s="7"/>
      <c r="BV194" s="7"/>
      <c r="BW194" s="7">
        <f t="shared" si="142"/>
        <v>0</v>
      </c>
      <c r="BX194" s="7"/>
      <c r="BY194" s="7">
        <f t="shared" si="205"/>
        <v>0</v>
      </c>
      <c r="BZ194" s="7">
        <f t="shared" si="206"/>
        <v>0</v>
      </c>
      <c r="CA194" s="7"/>
      <c r="CB194" s="7">
        <f t="shared" si="207"/>
        <v>0</v>
      </c>
      <c r="CC194" s="7">
        <f t="shared" si="208"/>
        <v>0</v>
      </c>
      <c r="CD194" s="15" t="e">
        <f t="shared" si="209"/>
        <v>#DIV/0!</v>
      </c>
      <c r="CE194" s="15" t="e">
        <f t="shared" si="210"/>
        <v>#DIV/0!</v>
      </c>
      <c r="CF194" s="451"/>
      <c r="CG194" s="27">
        <v>0</v>
      </c>
      <c r="CH194" s="7">
        <v>2000000</v>
      </c>
      <c r="CI194" s="7"/>
      <c r="CJ194" s="7"/>
      <c r="CK194" s="27"/>
      <c r="CL194" s="7"/>
      <c r="CM194" s="27"/>
      <c r="CN194" s="7"/>
      <c r="CO194" s="27"/>
      <c r="CP194" s="27"/>
      <c r="CQ194" s="7"/>
      <c r="CR194" s="7"/>
      <c r="CS194" s="7"/>
      <c r="CT194" s="27"/>
      <c r="CU194" s="27"/>
      <c r="CV194" s="7"/>
      <c r="CW194" s="27"/>
      <c r="CX194" s="27"/>
      <c r="CY194" s="7"/>
      <c r="CZ194" s="27"/>
      <c r="DA194" s="27"/>
      <c r="DB194" s="7"/>
      <c r="DC194" s="27"/>
      <c r="DD194" s="7"/>
      <c r="DE194" s="27"/>
      <c r="DF194" s="7"/>
      <c r="DG194" s="27"/>
      <c r="DH194" s="7"/>
      <c r="DI194" s="27"/>
      <c r="DJ194" s="7"/>
      <c r="DK194" s="27"/>
      <c r="DL194" s="7"/>
      <c r="DM194" s="27"/>
      <c r="DN194" s="7"/>
      <c r="DO194" s="27"/>
      <c r="DP194" s="14"/>
      <c r="DQ194" s="14"/>
      <c r="DR194" s="7"/>
      <c r="DS194" s="7"/>
      <c r="DT194" s="7"/>
      <c r="DU194" s="15"/>
      <c r="DV194" s="15"/>
      <c r="DW194" s="15"/>
      <c r="DX194" s="15"/>
      <c r="DY194" s="7"/>
      <c r="DZ194" s="27"/>
      <c r="EA194" s="319"/>
    </row>
    <row r="195" spans="1:131" s="10" customFormat="1" hidden="1" x14ac:dyDescent="0.25">
      <c r="A195" s="24" t="s">
        <v>84</v>
      </c>
      <c r="B195" s="24" t="s">
        <v>672</v>
      </c>
      <c r="C195" s="24"/>
      <c r="E195" s="3">
        <v>725025</v>
      </c>
      <c r="F195" s="353">
        <v>4</v>
      </c>
      <c r="G195" s="359" t="s">
        <v>187</v>
      </c>
      <c r="H195" s="353">
        <v>1539</v>
      </c>
      <c r="I195" s="9" t="s">
        <v>32</v>
      </c>
      <c r="J195" s="10" t="s">
        <v>32</v>
      </c>
      <c r="K195" s="3">
        <v>4</v>
      </c>
      <c r="L195" s="11" t="s">
        <v>187</v>
      </c>
      <c r="M195" s="45"/>
      <c r="N195" s="11" t="s">
        <v>186</v>
      </c>
      <c r="O195" s="11" t="s">
        <v>192</v>
      </c>
      <c r="P195" s="11" t="s">
        <v>187</v>
      </c>
      <c r="Q195" s="3" t="s">
        <v>187</v>
      </c>
      <c r="R195" s="3">
        <v>250</v>
      </c>
      <c r="S195" s="3" t="s">
        <v>188</v>
      </c>
      <c r="T195" s="12" t="s">
        <v>46</v>
      </c>
      <c r="U195" s="12" t="s">
        <v>222</v>
      </c>
      <c r="V195" s="12"/>
      <c r="W195" s="12" t="s">
        <v>2</v>
      </c>
      <c r="X195" s="8"/>
      <c r="Y195" s="13" t="s">
        <v>69</v>
      </c>
      <c r="Z195" s="349">
        <v>27</v>
      </c>
      <c r="AA195" s="10" t="s">
        <v>419</v>
      </c>
      <c r="AB195" s="12" t="s">
        <v>8</v>
      </c>
      <c r="AC195" s="27"/>
      <c r="AD195" s="27"/>
      <c r="AE195" s="7">
        <f t="shared" si="213"/>
        <v>0</v>
      </c>
      <c r="AF195" s="7"/>
      <c r="AG195" s="7">
        <f t="shared" si="150"/>
        <v>0</v>
      </c>
      <c r="AH195" s="33"/>
      <c r="AI195" s="7">
        <f t="shared" si="151"/>
        <v>0</v>
      </c>
      <c r="AJ195" s="409"/>
      <c r="AK195" s="27">
        <v>0</v>
      </c>
      <c r="AL195" s="36"/>
      <c r="AM195" s="33">
        <f t="shared" si="143"/>
        <v>0</v>
      </c>
      <c r="AN195" s="36"/>
      <c r="AO195" s="36"/>
      <c r="AP195" s="7">
        <f t="shared" si="132"/>
        <v>0</v>
      </c>
      <c r="AQ195" s="36"/>
      <c r="AR195" s="36"/>
      <c r="AS195" s="7">
        <f t="shared" si="148"/>
        <v>0</v>
      </c>
      <c r="AT195" s="36"/>
      <c r="AU195" s="36"/>
      <c r="AV195" s="7">
        <f t="shared" si="149"/>
        <v>0</v>
      </c>
      <c r="AW195" s="7"/>
      <c r="AX195" s="7"/>
      <c r="AY195" s="7">
        <f t="shared" si="199"/>
        <v>0</v>
      </c>
      <c r="AZ195" s="7"/>
      <c r="BA195" s="7"/>
      <c r="BB195" s="7">
        <f t="shared" si="135"/>
        <v>0</v>
      </c>
      <c r="BC195" s="7"/>
      <c r="BD195" s="7"/>
      <c r="BE195" s="7">
        <f t="shared" si="136"/>
        <v>0</v>
      </c>
      <c r="BF195" s="7"/>
      <c r="BG195" s="7"/>
      <c r="BH195" s="7">
        <f t="shared" si="137"/>
        <v>0</v>
      </c>
      <c r="BI195" s="7"/>
      <c r="BJ195" s="7"/>
      <c r="BK195" s="7">
        <f t="shared" si="138"/>
        <v>0</v>
      </c>
      <c r="BL195" s="7"/>
      <c r="BM195" s="7"/>
      <c r="BN195" s="7">
        <f t="shared" si="139"/>
        <v>0</v>
      </c>
      <c r="BO195" s="7"/>
      <c r="BP195" s="7"/>
      <c r="BQ195" s="7">
        <f t="shared" si="140"/>
        <v>0</v>
      </c>
      <c r="BR195" s="7"/>
      <c r="BS195" s="7"/>
      <c r="BT195" s="7">
        <f t="shared" si="141"/>
        <v>0</v>
      </c>
      <c r="BU195" s="7"/>
      <c r="BV195" s="7"/>
      <c r="BW195" s="7">
        <f t="shared" si="142"/>
        <v>0</v>
      </c>
      <c r="BX195" s="7"/>
      <c r="BY195" s="7">
        <f t="shared" si="205"/>
        <v>0</v>
      </c>
      <c r="BZ195" s="7">
        <f t="shared" si="206"/>
        <v>0</v>
      </c>
      <c r="CA195" s="7"/>
      <c r="CB195" s="7">
        <f t="shared" si="207"/>
        <v>0</v>
      </c>
      <c r="CC195" s="7">
        <f t="shared" si="208"/>
        <v>0</v>
      </c>
      <c r="CD195" s="15" t="e">
        <f t="shared" si="209"/>
        <v>#DIV/0!</v>
      </c>
      <c r="CE195" s="15" t="e">
        <f t="shared" si="210"/>
        <v>#DIV/0!</v>
      </c>
      <c r="CF195" s="451"/>
      <c r="CG195" s="27">
        <v>0</v>
      </c>
      <c r="CH195" s="7">
        <v>200000</v>
      </c>
      <c r="CI195" s="7"/>
      <c r="CJ195" s="7"/>
      <c r="CK195" s="27"/>
      <c r="CL195" s="7"/>
      <c r="CM195" s="27"/>
      <c r="CN195" s="7"/>
      <c r="CO195" s="27"/>
      <c r="CP195" s="27"/>
      <c r="CQ195" s="7"/>
      <c r="CR195" s="7"/>
      <c r="CS195" s="7"/>
      <c r="CT195" s="27"/>
      <c r="CU195" s="27"/>
      <c r="CV195" s="7"/>
      <c r="CW195" s="27"/>
      <c r="CX195" s="27"/>
      <c r="CY195" s="7"/>
      <c r="CZ195" s="27"/>
      <c r="DA195" s="27"/>
      <c r="DB195" s="7"/>
      <c r="DC195" s="27"/>
      <c r="DD195" s="7"/>
      <c r="DE195" s="27"/>
      <c r="DF195" s="7"/>
      <c r="DG195" s="27"/>
      <c r="DH195" s="7"/>
      <c r="DI195" s="27"/>
      <c r="DJ195" s="7"/>
      <c r="DK195" s="27"/>
      <c r="DL195" s="7"/>
      <c r="DM195" s="27"/>
      <c r="DN195" s="7"/>
      <c r="DO195" s="27"/>
      <c r="DP195" s="14"/>
      <c r="DQ195" s="14"/>
      <c r="DR195" s="7"/>
      <c r="DS195" s="7"/>
      <c r="DT195" s="7"/>
      <c r="DU195" s="15"/>
      <c r="DV195" s="15"/>
      <c r="DW195" s="15"/>
      <c r="DX195" s="15"/>
      <c r="DY195" s="7"/>
      <c r="DZ195" s="27"/>
      <c r="EA195" s="319"/>
    </row>
    <row r="196" spans="1:131" s="10" customFormat="1" hidden="1" x14ac:dyDescent="0.25">
      <c r="A196" s="24" t="s">
        <v>84</v>
      </c>
      <c r="B196" s="24" t="s">
        <v>675</v>
      </c>
      <c r="C196" s="24"/>
      <c r="E196" s="3">
        <v>725035</v>
      </c>
      <c r="F196" s="353">
        <v>4</v>
      </c>
      <c r="G196" s="359" t="s">
        <v>187</v>
      </c>
      <c r="H196" s="353">
        <v>1540</v>
      </c>
      <c r="I196" s="9" t="s">
        <v>32</v>
      </c>
      <c r="J196" s="10" t="s">
        <v>32</v>
      </c>
      <c r="K196" s="3">
        <v>4</v>
      </c>
      <c r="L196" s="11" t="s">
        <v>187</v>
      </c>
      <c r="M196" s="45"/>
      <c r="N196" s="11" t="s">
        <v>186</v>
      </c>
      <c r="O196" s="11" t="s">
        <v>192</v>
      </c>
      <c r="P196" s="11" t="s">
        <v>187</v>
      </c>
      <c r="Q196" s="3" t="s">
        <v>187</v>
      </c>
      <c r="R196" s="3">
        <v>260</v>
      </c>
      <c r="S196" s="3" t="s">
        <v>188</v>
      </c>
      <c r="T196" s="12" t="s">
        <v>260</v>
      </c>
      <c r="U196" s="12" t="s">
        <v>222</v>
      </c>
      <c r="V196" s="12"/>
      <c r="W196" s="12" t="s">
        <v>2</v>
      </c>
      <c r="X196" s="8"/>
      <c r="Y196" s="13" t="s">
        <v>69</v>
      </c>
      <c r="Z196" s="349" t="s">
        <v>581</v>
      </c>
      <c r="AA196" s="10" t="s">
        <v>420</v>
      </c>
      <c r="AB196" s="12" t="s">
        <v>8</v>
      </c>
      <c r="AC196" s="27"/>
      <c r="AD196" s="27"/>
      <c r="AE196" s="7">
        <f t="shared" si="213"/>
        <v>0</v>
      </c>
      <c r="AF196" s="7"/>
      <c r="AG196" s="7">
        <f t="shared" si="150"/>
        <v>0</v>
      </c>
      <c r="AH196" s="33"/>
      <c r="AI196" s="7">
        <f t="shared" si="151"/>
        <v>0</v>
      </c>
      <c r="AJ196" s="409"/>
      <c r="AK196" s="27">
        <v>0</v>
      </c>
      <c r="AL196" s="36"/>
      <c r="AM196" s="33">
        <f t="shared" si="143"/>
        <v>0</v>
      </c>
      <c r="AN196" s="36"/>
      <c r="AO196" s="36"/>
      <c r="AP196" s="7">
        <f t="shared" si="132"/>
        <v>0</v>
      </c>
      <c r="AQ196" s="36"/>
      <c r="AR196" s="36"/>
      <c r="AS196" s="7">
        <f t="shared" si="148"/>
        <v>0</v>
      </c>
      <c r="AT196" s="36"/>
      <c r="AU196" s="36"/>
      <c r="AV196" s="7">
        <f t="shared" si="149"/>
        <v>0</v>
      </c>
      <c r="AW196" s="7"/>
      <c r="AX196" s="7"/>
      <c r="AY196" s="7">
        <f t="shared" si="199"/>
        <v>0</v>
      </c>
      <c r="AZ196" s="7"/>
      <c r="BA196" s="7"/>
      <c r="BB196" s="7">
        <f t="shared" si="135"/>
        <v>0</v>
      </c>
      <c r="BC196" s="7"/>
      <c r="BD196" s="7"/>
      <c r="BE196" s="7">
        <f t="shared" si="136"/>
        <v>0</v>
      </c>
      <c r="BF196" s="7"/>
      <c r="BG196" s="7"/>
      <c r="BH196" s="7">
        <f t="shared" si="137"/>
        <v>0</v>
      </c>
      <c r="BI196" s="7"/>
      <c r="BJ196" s="7"/>
      <c r="BK196" s="7">
        <f t="shared" si="138"/>
        <v>0</v>
      </c>
      <c r="BL196" s="7"/>
      <c r="BM196" s="7"/>
      <c r="BN196" s="7">
        <f t="shared" si="139"/>
        <v>0</v>
      </c>
      <c r="BO196" s="7"/>
      <c r="BP196" s="7"/>
      <c r="BQ196" s="7">
        <f t="shared" si="140"/>
        <v>0</v>
      </c>
      <c r="BR196" s="7"/>
      <c r="BS196" s="7"/>
      <c r="BT196" s="7">
        <f t="shared" si="141"/>
        <v>0</v>
      </c>
      <c r="BU196" s="7"/>
      <c r="BV196" s="7"/>
      <c r="BW196" s="7">
        <f t="shared" si="142"/>
        <v>0</v>
      </c>
      <c r="BX196" s="7"/>
      <c r="BY196" s="7">
        <f t="shared" si="205"/>
        <v>0</v>
      </c>
      <c r="BZ196" s="7">
        <f t="shared" si="206"/>
        <v>0</v>
      </c>
      <c r="CA196" s="7"/>
      <c r="CB196" s="7">
        <f t="shared" si="207"/>
        <v>0</v>
      </c>
      <c r="CC196" s="7">
        <f t="shared" si="208"/>
        <v>0</v>
      </c>
      <c r="CD196" s="15" t="e">
        <f t="shared" si="209"/>
        <v>#DIV/0!</v>
      </c>
      <c r="CE196" s="15" t="e">
        <f t="shared" si="210"/>
        <v>#DIV/0!</v>
      </c>
      <c r="CF196" s="451"/>
      <c r="CG196" s="27">
        <v>0</v>
      </c>
      <c r="CH196" s="7">
        <v>2000000</v>
      </c>
      <c r="CI196" s="7"/>
      <c r="CJ196" s="7"/>
      <c r="CK196" s="27"/>
      <c r="CL196" s="7"/>
      <c r="CM196" s="27"/>
      <c r="CN196" s="7"/>
      <c r="CO196" s="27"/>
      <c r="CP196" s="27"/>
      <c r="CQ196" s="7"/>
      <c r="CR196" s="7"/>
      <c r="CS196" s="7"/>
      <c r="CT196" s="27"/>
      <c r="CU196" s="27"/>
      <c r="CV196" s="7"/>
      <c r="CW196" s="27"/>
      <c r="CX196" s="27"/>
      <c r="CY196" s="7"/>
      <c r="CZ196" s="27"/>
      <c r="DA196" s="27"/>
      <c r="DB196" s="7"/>
      <c r="DC196" s="27"/>
      <c r="DD196" s="7"/>
      <c r="DE196" s="27"/>
      <c r="DF196" s="7"/>
      <c r="DG196" s="27"/>
      <c r="DH196" s="7"/>
      <c r="DI196" s="27"/>
      <c r="DJ196" s="7"/>
      <c r="DK196" s="27"/>
      <c r="DL196" s="7"/>
      <c r="DM196" s="27"/>
      <c r="DN196" s="7"/>
      <c r="DO196" s="27"/>
      <c r="DP196" s="14"/>
      <c r="DQ196" s="14"/>
      <c r="DR196" s="7"/>
      <c r="DS196" s="7"/>
      <c r="DT196" s="7"/>
      <c r="DU196" s="15"/>
      <c r="DV196" s="15"/>
      <c r="DW196" s="15"/>
      <c r="DX196" s="15"/>
      <c r="DY196" s="7"/>
      <c r="DZ196" s="27"/>
      <c r="EA196" s="319"/>
    </row>
    <row r="197" spans="1:131" s="10" customFormat="1" hidden="1" x14ac:dyDescent="0.25">
      <c r="A197" s="24" t="s">
        <v>84</v>
      </c>
      <c r="B197" s="24" t="s">
        <v>675</v>
      </c>
      <c r="C197" s="24"/>
      <c r="E197" s="3">
        <v>725035</v>
      </c>
      <c r="F197" s="353">
        <v>4</v>
      </c>
      <c r="G197" s="359" t="s">
        <v>187</v>
      </c>
      <c r="H197" s="353">
        <v>1541</v>
      </c>
      <c r="I197" s="9" t="s">
        <v>32</v>
      </c>
      <c r="J197" s="10" t="s">
        <v>32</v>
      </c>
      <c r="K197" s="3">
        <v>4</v>
      </c>
      <c r="L197" s="11" t="s">
        <v>187</v>
      </c>
      <c r="M197" s="45"/>
      <c r="N197" s="11" t="s">
        <v>186</v>
      </c>
      <c r="O197" s="11" t="s">
        <v>192</v>
      </c>
      <c r="P197" s="11" t="s">
        <v>187</v>
      </c>
      <c r="Q197" s="3" t="s">
        <v>187</v>
      </c>
      <c r="R197" s="3">
        <v>312</v>
      </c>
      <c r="S197" s="3" t="s">
        <v>188</v>
      </c>
      <c r="T197" s="12" t="s">
        <v>78</v>
      </c>
      <c r="U197" s="12"/>
      <c r="V197" s="12" t="s">
        <v>222</v>
      </c>
      <c r="W197" s="12" t="s">
        <v>2</v>
      </c>
      <c r="X197" s="8"/>
      <c r="Y197" s="13" t="s">
        <v>69</v>
      </c>
      <c r="Z197" s="349" t="s">
        <v>581</v>
      </c>
      <c r="AA197" s="10" t="s">
        <v>421</v>
      </c>
      <c r="AB197" s="12" t="s">
        <v>8</v>
      </c>
      <c r="AC197" s="27"/>
      <c r="AD197" s="27"/>
      <c r="AE197" s="7">
        <f t="shared" si="213"/>
        <v>0</v>
      </c>
      <c r="AF197" s="7"/>
      <c r="AG197" s="7">
        <f t="shared" si="150"/>
        <v>0</v>
      </c>
      <c r="AH197" s="33"/>
      <c r="AI197" s="7">
        <f t="shared" si="151"/>
        <v>0</v>
      </c>
      <c r="AJ197" s="409"/>
      <c r="AK197" s="27">
        <v>0</v>
      </c>
      <c r="AL197" s="36"/>
      <c r="AM197" s="33">
        <f t="shared" ref="AM197:AM245" si="214">AK197+AL197</f>
        <v>0</v>
      </c>
      <c r="AN197" s="36"/>
      <c r="AO197" s="36"/>
      <c r="AP197" s="7">
        <f t="shared" si="132"/>
        <v>0</v>
      </c>
      <c r="AQ197" s="36"/>
      <c r="AR197" s="36"/>
      <c r="AS197" s="7">
        <f t="shared" si="148"/>
        <v>0</v>
      </c>
      <c r="AT197" s="36"/>
      <c r="AU197" s="36"/>
      <c r="AV197" s="7">
        <f t="shared" si="149"/>
        <v>0</v>
      </c>
      <c r="AW197" s="7"/>
      <c r="AX197" s="7"/>
      <c r="AY197" s="7">
        <f t="shared" si="199"/>
        <v>0</v>
      </c>
      <c r="AZ197" s="7"/>
      <c r="BA197" s="7"/>
      <c r="BB197" s="7">
        <f t="shared" si="135"/>
        <v>0</v>
      </c>
      <c r="BC197" s="7"/>
      <c r="BD197" s="7"/>
      <c r="BE197" s="7">
        <f t="shared" si="136"/>
        <v>0</v>
      </c>
      <c r="BF197" s="7"/>
      <c r="BG197" s="7"/>
      <c r="BH197" s="7">
        <f t="shared" si="137"/>
        <v>0</v>
      </c>
      <c r="BI197" s="7"/>
      <c r="BJ197" s="7"/>
      <c r="BK197" s="7">
        <f t="shared" si="138"/>
        <v>0</v>
      </c>
      <c r="BL197" s="7"/>
      <c r="BM197" s="7"/>
      <c r="BN197" s="7">
        <f t="shared" si="139"/>
        <v>0</v>
      </c>
      <c r="BO197" s="7"/>
      <c r="BP197" s="7"/>
      <c r="BQ197" s="7">
        <f t="shared" si="140"/>
        <v>0</v>
      </c>
      <c r="BR197" s="7"/>
      <c r="BS197" s="7"/>
      <c r="BT197" s="7">
        <f t="shared" si="141"/>
        <v>0</v>
      </c>
      <c r="BU197" s="7"/>
      <c r="BV197" s="7"/>
      <c r="BW197" s="7">
        <f t="shared" si="142"/>
        <v>0</v>
      </c>
      <c r="BX197" s="7"/>
      <c r="BY197" s="7">
        <f t="shared" si="205"/>
        <v>0</v>
      </c>
      <c r="BZ197" s="7">
        <f t="shared" si="206"/>
        <v>0</v>
      </c>
      <c r="CA197" s="7"/>
      <c r="CB197" s="7">
        <f t="shared" si="207"/>
        <v>0</v>
      </c>
      <c r="CC197" s="7">
        <f t="shared" si="208"/>
        <v>0</v>
      </c>
      <c r="CD197" s="15" t="e">
        <f t="shared" si="209"/>
        <v>#DIV/0!</v>
      </c>
      <c r="CE197" s="15" t="e">
        <f t="shared" si="210"/>
        <v>#DIV/0!</v>
      </c>
      <c r="CF197" s="451"/>
      <c r="CG197" s="27">
        <v>0</v>
      </c>
      <c r="CH197" s="7">
        <v>2000000</v>
      </c>
      <c r="CI197" s="7"/>
      <c r="CJ197" s="7"/>
      <c r="CK197" s="27"/>
      <c r="CL197" s="7"/>
      <c r="CM197" s="27"/>
      <c r="CN197" s="7"/>
      <c r="CO197" s="27"/>
      <c r="CP197" s="27"/>
      <c r="CQ197" s="7"/>
      <c r="CR197" s="7"/>
      <c r="CS197" s="7"/>
      <c r="CT197" s="27"/>
      <c r="CU197" s="27"/>
      <c r="CV197" s="7"/>
      <c r="CW197" s="27"/>
      <c r="CX197" s="27"/>
      <c r="CY197" s="7"/>
      <c r="CZ197" s="27"/>
      <c r="DA197" s="27"/>
      <c r="DB197" s="7"/>
      <c r="DC197" s="27"/>
      <c r="DD197" s="7"/>
      <c r="DE197" s="27"/>
      <c r="DF197" s="7"/>
      <c r="DG197" s="27"/>
      <c r="DH197" s="7"/>
      <c r="DI197" s="27"/>
      <c r="DJ197" s="7"/>
      <c r="DK197" s="27"/>
      <c r="DL197" s="7"/>
      <c r="DM197" s="27"/>
      <c r="DN197" s="7"/>
      <c r="DO197" s="27"/>
      <c r="DP197" s="14"/>
      <c r="DQ197" s="14"/>
      <c r="DR197" s="7"/>
      <c r="DS197" s="7"/>
      <c r="DT197" s="7"/>
      <c r="DU197" s="15"/>
      <c r="DV197" s="15"/>
      <c r="DW197" s="15"/>
      <c r="DX197" s="15"/>
      <c r="DY197" s="7"/>
      <c r="DZ197" s="27"/>
      <c r="EA197" s="319"/>
    </row>
    <row r="198" spans="1:131" s="10" customFormat="1" x14ac:dyDescent="0.25">
      <c r="A198" s="24" t="s">
        <v>84</v>
      </c>
      <c r="B198" s="24"/>
      <c r="C198" s="24" t="s">
        <v>638</v>
      </c>
      <c r="E198" s="3">
        <v>725035</v>
      </c>
      <c r="F198" s="353">
        <v>6</v>
      </c>
      <c r="G198" s="359" t="s">
        <v>187</v>
      </c>
      <c r="H198" s="353">
        <v>1519</v>
      </c>
      <c r="I198" s="9" t="s">
        <v>32</v>
      </c>
      <c r="J198" s="10" t="s">
        <v>32</v>
      </c>
      <c r="K198" s="3"/>
      <c r="L198" s="11"/>
      <c r="M198" s="45"/>
      <c r="N198" s="11" t="s">
        <v>186</v>
      </c>
      <c r="O198" s="11" t="s">
        <v>192</v>
      </c>
      <c r="P198" s="11" t="s">
        <v>187</v>
      </c>
      <c r="Q198" s="3" t="s">
        <v>187</v>
      </c>
      <c r="R198" s="3">
        <v>312</v>
      </c>
      <c r="S198" s="11" t="s">
        <v>259</v>
      </c>
      <c r="T198" s="12" t="s">
        <v>89</v>
      </c>
      <c r="U198" s="12" t="s">
        <v>222</v>
      </c>
      <c r="V198" s="12"/>
      <c r="W198" s="12"/>
      <c r="X198" s="8"/>
      <c r="Y198" s="13"/>
      <c r="Z198" s="349" t="s">
        <v>92</v>
      </c>
      <c r="AA198" s="10" t="s">
        <v>721</v>
      </c>
      <c r="AB198" s="12" t="s">
        <v>697</v>
      </c>
      <c r="AC198" s="27"/>
      <c r="AD198" s="27"/>
      <c r="AE198" s="7"/>
      <c r="AF198" s="7"/>
      <c r="AG198" s="7"/>
      <c r="AH198" s="33"/>
      <c r="AI198" s="7"/>
      <c r="AJ198" s="409"/>
      <c r="AK198" s="27"/>
      <c r="AL198" s="36">
        <v>798970</v>
      </c>
      <c r="AM198" s="33">
        <f t="shared" si="214"/>
        <v>798970</v>
      </c>
      <c r="AN198" s="36"/>
      <c r="AO198" s="36"/>
      <c r="AP198" s="7">
        <f t="shared" si="132"/>
        <v>0</v>
      </c>
      <c r="AQ198" s="36"/>
      <c r="AR198" s="36"/>
      <c r="AS198" s="7">
        <f t="shared" si="148"/>
        <v>0</v>
      </c>
      <c r="AT198" s="36">
        <v>366421.75</v>
      </c>
      <c r="AU198" s="36"/>
      <c r="AV198" s="7">
        <f t="shared" ref="AV198:AV200" si="215">AT198+AU198</f>
        <v>366421.75</v>
      </c>
      <c r="AW198" s="7"/>
      <c r="AX198" s="7"/>
      <c r="AY198" s="7">
        <f t="shared" si="199"/>
        <v>0</v>
      </c>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v>199821</v>
      </c>
      <c r="BY198" s="7">
        <f t="shared" si="205"/>
        <v>366421.75</v>
      </c>
      <c r="BZ198" s="7">
        <f t="shared" si="206"/>
        <v>366421.75</v>
      </c>
      <c r="CA198" s="7"/>
      <c r="CB198" s="7">
        <f t="shared" si="207"/>
        <v>432548.25</v>
      </c>
      <c r="CC198" s="7">
        <f t="shared" si="208"/>
        <v>432548.25</v>
      </c>
      <c r="CD198" s="15">
        <f t="shared" si="209"/>
        <v>0.45861765773433294</v>
      </c>
      <c r="CE198" s="15">
        <f t="shared" si="210"/>
        <v>0.45861765773433294</v>
      </c>
      <c r="CF198" s="451" t="s">
        <v>865</v>
      </c>
      <c r="CG198" s="27"/>
      <c r="CH198" s="7"/>
      <c r="CI198" s="7"/>
      <c r="CJ198" s="7"/>
      <c r="CK198" s="27"/>
      <c r="CL198" s="7"/>
      <c r="CM198" s="27"/>
      <c r="CN198" s="7"/>
      <c r="CO198" s="27"/>
      <c r="CP198" s="27"/>
      <c r="CQ198" s="7"/>
      <c r="CR198" s="7"/>
      <c r="CS198" s="7"/>
      <c r="CT198" s="27"/>
      <c r="CU198" s="27"/>
      <c r="CV198" s="7"/>
      <c r="CW198" s="27"/>
      <c r="CX198" s="27"/>
      <c r="CY198" s="7"/>
      <c r="CZ198" s="27"/>
      <c r="DA198" s="27"/>
      <c r="DB198" s="7"/>
      <c r="DC198" s="27"/>
      <c r="DD198" s="7"/>
      <c r="DE198" s="27"/>
      <c r="DF198" s="7"/>
      <c r="DG198" s="27"/>
      <c r="DH198" s="7"/>
      <c r="DI198" s="27"/>
      <c r="DJ198" s="7"/>
      <c r="DK198" s="27"/>
      <c r="DL198" s="7"/>
      <c r="DM198" s="27"/>
      <c r="DN198" s="7"/>
      <c r="DO198" s="27"/>
      <c r="DP198" s="14"/>
      <c r="DQ198" s="14"/>
      <c r="DR198" s="7"/>
      <c r="DS198" s="7"/>
      <c r="DT198" s="7"/>
      <c r="DU198" s="15"/>
      <c r="DV198" s="15"/>
      <c r="DW198" s="15"/>
      <c r="DX198" s="15"/>
      <c r="DY198" s="7"/>
      <c r="DZ198" s="27"/>
      <c r="EA198" s="319"/>
    </row>
    <row r="199" spans="1:131" s="10" customFormat="1" x14ac:dyDescent="0.25">
      <c r="A199" s="24" t="s">
        <v>84</v>
      </c>
      <c r="B199" s="24" t="s">
        <v>674</v>
      </c>
      <c r="C199" s="24" t="s">
        <v>238</v>
      </c>
      <c r="E199" s="3">
        <v>725055</v>
      </c>
      <c r="F199" s="353">
        <v>4</v>
      </c>
      <c r="G199" s="359" t="s">
        <v>187</v>
      </c>
      <c r="H199" s="353">
        <v>1558</v>
      </c>
      <c r="I199" s="9" t="s">
        <v>32</v>
      </c>
      <c r="J199" s="10" t="s">
        <v>32</v>
      </c>
      <c r="K199" s="3">
        <v>4</v>
      </c>
      <c r="L199" s="11" t="s">
        <v>187</v>
      </c>
      <c r="M199" s="45"/>
      <c r="N199" s="11" t="s">
        <v>186</v>
      </c>
      <c r="O199" s="11" t="s">
        <v>192</v>
      </c>
      <c r="P199" s="11" t="s">
        <v>187</v>
      </c>
      <c r="Q199" s="3" t="s">
        <v>187</v>
      </c>
      <c r="R199" s="3">
        <v>270</v>
      </c>
      <c r="S199" s="3" t="s">
        <v>188</v>
      </c>
      <c r="T199" s="12" t="s">
        <v>26</v>
      </c>
      <c r="U199" s="12" t="s">
        <v>222</v>
      </c>
      <c r="V199" s="12"/>
      <c r="W199" s="12" t="s">
        <v>2</v>
      </c>
      <c r="X199" s="8"/>
      <c r="Y199" s="13" t="s">
        <v>69</v>
      </c>
      <c r="Z199" s="349" t="s">
        <v>94</v>
      </c>
      <c r="AA199" s="10" t="s">
        <v>665</v>
      </c>
      <c r="AB199" s="12" t="s">
        <v>8</v>
      </c>
      <c r="AC199" s="27"/>
      <c r="AD199" s="27"/>
      <c r="AE199" s="7">
        <f t="shared" si="213"/>
        <v>0</v>
      </c>
      <c r="AF199" s="7"/>
      <c r="AG199" s="7">
        <f t="shared" si="150"/>
        <v>0</v>
      </c>
      <c r="AH199" s="33"/>
      <c r="AI199" s="7">
        <f t="shared" si="151"/>
        <v>0</v>
      </c>
      <c r="AJ199" s="409"/>
      <c r="AK199" s="27">
        <v>73700</v>
      </c>
      <c r="AL199" s="36"/>
      <c r="AM199" s="33">
        <f t="shared" si="214"/>
        <v>73700</v>
      </c>
      <c r="AN199" s="36">
        <v>0</v>
      </c>
      <c r="AO199" s="36">
        <v>0</v>
      </c>
      <c r="AP199" s="7">
        <f>AN199+AO199</f>
        <v>0</v>
      </c>
      <c r="AQ199" s="36"/>
      <c r="AR199" s="36"/>
      <c r="AS199" s="7">
        <f t="shared" ref="AS199:AS200" si="216">AQ199+AR199</f>
        <v>0</v>
      </c>
      <c r="AT199" s="36"/>
      <c r="AU199" s="36"/>
      <c r="AV199" s="7">
        <f t="shared" si="215"/>
        <v>0</v>
      </c>
      <c r="AW199" s="7"/>
      <c r="AX199" s="7"/>
      <c r="AY199" s="7">
        <f t="shared" si="199"/>
        <v>0</v>
      </c>
      <c r="AZ199" s="7"/>
      <c r="BA199" s="7"/>
      <c r="BB199" s="7">
        <f t="shared" ref="BB199" si="217">AZ199+BA199</f>
        <v>0</v>
      </c>
      <c r="BC199" s="7"/>
      <c r="BD199" s="7"/>
      <c r="BE199" s="7">
        <f t="shared" ref="BE199" si="218">BC199+BD199</f>
        <v>0</v>
      </c>
      <c r="BF199" s="7"/>
      <c r="BG199" s="7"/>
      <c r="BH199" s="7">
        <f t="shared" ref="BH199" si="219">BF199+BG199</f>
        <v>0</v>
      </c>
      <c r="BI199" s="7"/>
      <c r="BJ199" s="7"/>
      <c r="BK199" s="7">
        <f t="shared" ref="BK199" si="220">BI199+BJ199</f>
        <v>0</v>
      </c>
      <c r="BL199" s="7"/>
      <c r="BM199" s="7"/>
      <c r="BN199" s="7">
        <f t="shared" ref="BN199" si="221">BL199+BM199</f>
        <v>0</v>
      </c>
      <c r="BO199" s="7"/>
      <c r="BP199" s="7"/>
      <c r="BQ199" s="7">
        <f t="shared" ref="BQ199" si="222">BO199+BP199</f>
        <v>0</v>
      </c>
      <c r="BR199" s="7"/>
      <c r="BS199" s="7"/>
      <c r="BT199" s="7">
        <f t="shared" ref="BT199" si="223">BR199+BS199</f>
        <v>0</v>
      </c>
      <c r="BU199" s="7"/>
      <c r="BV199" s="7"/>
      <c r="BW199" s="7">
        <f t="shared" ref="BW199" si="224">BU199+BV199</f>
        <v>0</v>
      </c>
      <c r="BX199" s="7"/>
      <c r="BY199" s="7">
        <f t="shared" si="205"/>
        <v>0</v>
      </c>
      <c r="BZ199" s="7">
        <f t="shared" si="206"/>
        <v>0</v>
      </c>
      <c r="CA199" s="7"/>
      <c r="CB199" s="7">
        <f t="shared" si="207"/>
        <v>73700</v>
      </c>
      <c r="CC199" s="7">
        <f t="shared" si="208"/>
        <v>73700</v>
      </c>
      <c r="CD199" s="15">
        <f t="shared" si="209"/>
        <v>0</v>
      </c>
      <c r="CE199" s="15">
        <f t="shared" si="210"/>
        <v>0</v>
      </c>
      <c r="CF199" s="451" t="s">
        <v>782</v>
      </c>
      <c r="CG199" s="27"/>
      <c r="CH199" s="7"/>
      <c r="CI199" s="7"/>
      <c r="CJ199" s="7"/>
      <c r="CK199" s="27"/>
      <c r="CL199" s="7"/>
      <c r="CM199" s="27"/>
      <c r="CN199" s="7"/>
      <c r="CO199" s="27"/>
      <c r="CP199" s="27"/>
      <c r="CQ199" s="7"/>
      <c r="CR199" s="7"/>
      <c r="CS199" s="7"/>
      <c r="CT199" s="27"/>
      <c r="CU199" s="27"/>
      <c r="CV199" s="7"/>
      <c r="CW199" s="27"/>
      <c r="CX199" s="27"/>
      <c r="CY199" s="7"/>
      <c r="CZ199" s="27"/>
      <c r="DA199" s="27"/>
      <c r="DB199" s="7"/>
      <c r="DC199" s="27"/>
      <c r="DD199" s="7"/>
      <c r="DE199" s="27"/>
      <c r="DF199" s="7"/>
      <c r="DG199" s="27"/>
      <c r="DH199" s="7"/>
      <c r="DI199" s="27"/>
      <c r="DJ199" s="7"/>
      <c r="DK199" s="27"/>
      <c r="DL199" s="7"/>
      <c r="DM199" s="27"/>
      <c r="DN199" s="7"/>
      <c r="DO199" s="27"/>
      <c r="DP199" s="14"/>
      <c r="DQ199" s="14"/>
      <c r="DR199" s="7"/>
      <c r="DS199" s="7"/>
      <c r="DT199" s="7"/>
      <c r="DU199" s="15"/>
      <c r="DV199" s="15"/>
      <c r="DW199" s="15"/>
      <c r="DX199" s="15"/>
      <c r="DY199" s="7"/>
      <c r="DZ199" s="27"/>
      <c r="EA199" s="319"/>
    </row>
    <row r="200" spans="1:131" s="10" customFormat="1" x14ac:dyDescent="0.25">
      <c r="A200" s="24" t="s">
        <v>84</v>
      </c>
      <c r="B200" s="24" t="s">
        <v>674</v>
      </c>
      <c r="C200" s="8" t="s">
        <v>626</v>
      </c>
      <c r="E200" s="3">
        <v>725055</v>
      </c>
      <c r="F200" s="353">
        <v>5</v>
      </c>
      <c r="G200" s="359" t="s">
        <v>186</v>
      </c>
      <c r="H200" s="353">
        <v>1506</v>
      </c>
      <c r="I200" s="9" t="s">
        <v>246</v>
      </c>
      <c r="J200" s="10" t="s">
        <v>32</v>
      </c>
      <c r="K200" s="3">
        <v>4</v>
      </c>
      <c r="L200" s="11" t="s">
        <v>187</v>
      </c>
      <c r="M200" s="45"/>
      <c r="N200" s="11" t="s">
        <v>186</v>
      </c>
      <c r="O200" s="11" t="s">
        <v>189</v>
      </c>
      <c r="P200" s="11" t="s">
        <v>187</v>
      </c>
      <c r="Q200" s="11" t="s">
        <v>187</v>
      </c>
      <c r="R200" s="3">
        <v>270</v>
      </c>
      <c r="S200" s="11" t="s">
        <v>188</v>
      </c>
      <c r="T200" s="12" t="s">
        <v>26</v>
      </c>
      <c r="U200" s="12" t="s">
        <v>222</v>
      </c>
      <c r="V200" s="12"/>
      <c r="W200" s="12" t="s">
        <v>5</v>
      </c>
      <c r="X200" s="8"/>
      <c r="Y200" s="13"/>
      <c r="Z200" s="3" t="s">
        <v>92</v>
      </c>
      <c r="AA200" s="336" t="s">
        <v>436</v>
      </c>
      <c r="AB200" s="12" t="s">
        <v>8</v>
      </c>
      <c r="AC200" s="27"/>
      <c r="AD200" s="27"/>
      <c r="AE200" s="7">
        <f t="shared" si="213"/>
        <v>0</v>
      </c>
      <c r="AF200" s="7"/>
      <c r="AG200" s="7">
        <f t="shared" si="150"/>
        <v>0</v>
      </c>
      <c r="AH200" s="33"/>
      <c r="AI200" s="7">
        <f t="shared" si="151"/>
        <v>0</v>
      </c>
      <c r="AJ200" s="409"/>
      <c r="AK200" s="412"/>
      <c r="AL200" s="412">
        <v>95000</v>
      </c>
      <c r="AM200" s="33">
        <f t="shared" si="214"/>
        <v>95000</v>
      </c>
      <c r="AN200" s="36"/>
      <c r="AO200" s="36"/>
      <c r="AP200" s="7"/>
      <c r="AQ200" s="36"/>
      <c r="AR200" s="36"/>
      <c r="AS200" s="7">
        <f t="shared" si="216"/>
        <v>0</v>
      </c>
      <c r="AT200" s="36"/>
      <c r="AU200" s="36"/>
      <c r="AV200" s="7">
        <f t="shared" si="215"/>
        <v>0</v>
      </c>
      <c r="AW200" s="7"/>
      <c r="AX200" s="7"/>
      <c r="AY200" s="7">
        <f t="shared" si="199"/>
        <v>0</v>
      </c>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v>71423.3</v>
      </c>
      <c r="BY200" s="7">
        <f t="shared" si="205"/>
        <v>0</v>
      </c>
      <c r="BZ200" s="7">
        <f t="shared" si="206"/>
        <v>0</v>
      </c>
      <c r="CA200" s="7"/>
      <c r="CB200" s="7">
        <f t="shared" si="207"/>
        <v>95000</v>
      </c>
      <c r="CC200" s="7">
        <f t="shared" si="208"/>
        <v>95000</v>
      </c>
      <c r="CD200" s="15">
        <f t="shared" si="209"/>
        <v>0</v>
      </c>
      <c r="CE200" s="15">
        <f t="shared" si="210"/>
        <v>0</v>
      </c>
      <c r="CF200" s="451" t="s">
        <v>685</v>
      </c>
      <c r="CG200" s="27"/>
      <c r="CH200" s="7"/>
      <c r="CI200" s="7"/>
      <c r="CJ200" s="7"/>
      <c r="CK200" s="27"/>
      <c r="CL200" s="7"/>
      <c r="CM200" s="27"/>
      <c r="CN200" s="7"/>
      <c r="CO200" s="27"/>
      <c r="CP200" s="27"/>
      <c r="CQ200" s="7"/>
      <c r="CR200" s="7"/>
      <c r="CS200" s="7"/>
      <c r="CT200" s="27"/>
      <c r="CU200" s="27"/>
      <c r="CV200" s="7"/>
      <c r="CW200" s="27"/>
      <c r="CX200" s="27"/>
      <c r="CY200" s="7"/>
      <c r="CZ200" s="27"/>
      <c r="DA200" s="27"/>
      <c r="DB200" s="7"/>
      <c r="DC200" s="27"/>
      <c r="DD200" s="7"/>
      <c r="DE200" s="27"/>
      <c r="DF200" s="7"/>
      <c r="DG200" s="27"/>
      <c r="DH200" s="7"/>
      <c r="DI200" s="27"/>
      <c r="DJ200" s="7"/>
      <c r="DK200" s="27"/>
      <c r="DL200" s="7"/>
      <c r="DM200" s="27"/>
      <c r="DN200" s="7"/>
      <c r="DO200" s="27"/>
      <c r="DP200" s="14"/>
      <c r="DQ200" s="14"/>
      <c r="DR200" s="7"/>
      <c r="DS200" s="7"/>
      <c r="DT200" s="7"/>
      <c r="DU200" s="15"/>
      <c r="DV200" s="15"/>
      <c r="DW200" s="15"/>
      <c r="DX200" s="15"/>
      <c r="DY200" s="7"/>
      <c r="DZ200" s="27"/>
      <c r="EA200" s="319"/>
    </row>
    <row r="201" spans="1:131" s="10" customFormat="1" ht="16.5" thickBot="1" x14ac:dyDescent="0.3">
      <c r="A201" s="65"/>
      <c r="B201" s="28"/>
      <c r="C201" s="65"/>
      <c r="D201" s="37"/>
      <c r="E201" s="16"/>
      <c r="F201" s="355"/>
      <c r="G201" s="355"/>
      <c r="H201" s="355"/>
      <c r="I201" s="37"/>
      <c r="J201" s="38"/>
      <c r="K201" s="16"/>
      <c r="L201" s="16"/>
      <c r="M201" s="57"/>
      <c r="N201" s="16"/>
      <c r="O201" s="16"/>
      <c r="P201" s="16"/>
      <c r="Q201" s="16"/>
      <c r="R201" s="16"/>
      <c r="S201" s="16"/>
      <c r="T201" s="28"/>
      <c r="U201" s="28"/>
      <c r="V201" s="28"/>
      <c r="W201" s="28"/>
      <c r="X201" s="28"/>
      <c r="Y201" s="39"/>
      <c r="Z201" s="30"/>
      <c r="AA201" s="55" t="s">
        <v>88</v>
      </c>
      <c r="AB201" s="29"/>
      <c r="AC201" s="20">
        <f>SUM(AC178:AC188)</f>
        <v>1750000</v>
      </c>
      <c r="AD201" s="20">
        <f>SUM(AD178:AD188)</f>
        <v>0</v>
      </c>
      <c r="AE201" s="7">
        <f t="shared" si="213"/>
        <v>1750000</v>
      </c>
      <c r="AF201" s="20">
        <f>SUM(AF178:AF188)</f>
        <v>500000</v>
      </c>
      <c r="AG201" s="7">
        <f t="shared" si="150"/>
        <v>2250000</v>
      </c>
      <c r="AH201" s="20">
        <f>SUM(AH169:AH197)</f>
        <v>-2000000</v>
      </c>
      <c r="AI201" s="7">
        <f t="shared" si="151"/>
        <v>250000</v>
      </c>
      <c r="AJ201" s="407">
        <f>SUM(AJ169:AJ197)</f>
        <v>2000000</v>
      </c>
      <c r="AK201" s="20">
        <f t="shared" ref="AK201:BX201" si="225">SUM(AK169:AK200)</f>
        <v>9800000</v>
      </c>
      <c r="AL201" s="20">
        <f t="shared" si="225"/>
        <v>3456980</v>
      </c>
      <c r="AM201" s="20">
        <f t="shared" si="225"/>
        <v>13866980</v>
      </c>
      <c r="AN201" s="20">
        <f t="shared" si="225"/>
        <v>1102.6300000000001</v>
      </c>
      <c r="AO201" s="20">
        <f t="shared" si="225"/>
        <v>0</v>
      </c>
      <c r="AP201" s="20">
        <f t="shared" si="225"/>
        <v>1102.6300000000001</v>
      </c>
      <c r="AQ201" s="20">
        <f t="shared" si="225"/>
        <v>761505.76</v>
      </c>
      <c r="AR201" s="20">
        <f t="shared" si="225"/>
        <v>0</v>
      </c>
      <c r="AS201" s="20">
        <f t="shared" si="225"/>
        <v>761505.76</v>
      </c>
      <c r="AT201" s="20">
        <f t="shared" si="225"/>
        <v>1653.9500000000698</v>
      </c>
      <c r="AU201" s="20">
        <f t="shared" si="225"/>
        <v>0</v>
      </c>
      <c r="AV201" s="20">
        <f t="shared" si="225"/>
        <v>1653.9500000000698</v>
      </c>
      <c r="AW201" s="20">
        <f t="shared" si="225"/>
        <v>177174.39</v>
      </c>
      <c r="AX201" s="20">
        <f t="shared" si="225"/>
        <v>0</v>
      </c>
      <c r="AY201" s="20">
        <f t="shared" si="199"/>
        <v>177174.39</v>
      </c>
      <c r="AZ201" s="20">
        <f t="shared" si="225"/>
        <v>0</v>
      </c>
      <c r="BA201" s="20">
        <f t="shared" si="225"/>
        <v>0</v>
      </c>
      <c r="BB201" s="20">
        <f t="shared" si="225"/>
        <v>0</v>
      </c>
      <c r="BC201" s="20">
        <f t="shared" si="225"/>
        <v>0</v>
      </c>
      <c r="BD201" s="20">
        <f t="shared" si="225"/>
        <v>0</v>
      </c>
      <c r="BE201" s="20">
        <f t="shared" si="225"/>
        <v>0</v>
      </c>
      <c r="BF201" s="20">
        <f t="shared" si="225"/>
        <v>0</v>
      </c>
      <c r="BG201" s="20">
        <f t="shared" si="225"/>
        <v>0</v>
      </c>
      <c r="BH201" s="20">
        <f t="shared" si="225"/>
        <v>0</v>
      </c>
      <c r="BI201" s="20">
        <f t="shared" si="225"/>
        <v>0</v>
      </c>
      <c r="BJ201" s="20">
        <f t="shared" si="225"/>
        <v>0</v>
      </c>
      <c r="BK201" s="20">
        <f t="shared" si="225"/>
        <v>0</v>
      </c>
      <c r="BL201" s="20">
        <f t="shared" si="225"/>
        <v>0</v>
      </c>
      <c r="BM201" s="20">
        <f t="shared" si="225"/>
        <v>0</v>
      </c>
      <c r="BN201" s="20">
        <f t="shared" si="225"/>
        <v>0</v>
      </c>
      <c r="BO201" s="20">
        <f t="shared" si="225"/>
        <v>0</v>
      </c>
      <c r="BP201" s="20">
        <f t="shared" si="225"/>
        <v>0</v>
      </c>
      <c r="BQ201" s="20">
        <f t="shared" si="225"/>
        <v>0</v>
      </c>
      <c r="BR201" s="20">
        <f t="shared" si="225"/>
        <v>0</v>
      </c>
      <c r="BS201" s="20">
        <f t="shared" si="225"/>
        <v>0</v>
      </c>
      <c r="BT201" s="20">
        <f t="shared" si="225"/>
        <v>0</v>
      </c>
      <c r="BU201" s="20">
        <f t="shared" si="225"/>
        <v>0</v>
      </c>
      <c r="BV201" s="20">
        <f t="shared" si="225"/>
        <v>0</v>
      </c>
      <c r="BW201" s="20">
        <f t="shared" si="225"/>
        <v>0</v>
      </c>
      <c r="BX201" s="20">
        <f t="shared" si="225"/>
        <v>2626870.7199999997</v>
      </c>
      <c r="BY201" s="20">
        <f t="shared" si="205"/>
        <v>941436.7300000001</v>
      </c>
      <c r="BZ201" s="20">
        <f t="shared" si="206"/>
        <v>941436.7300000001</v>
      </c>
      <c r="CA201" s="20">
        <f>SUM(CA169:CA200)</f>
        <v>0</v>
      </c>
      <c r="CB201" s="20">
        <f t="shared" si="207"/>
        <v>12925543.27</v>
      </c>
      <c r="CC201" s="20">
        <f t="shared" si="208"/>
        <v>12925543.27</v>
      </c>
      <c r="CD201" s="21">
        <f t="shared" si="209"/>
        <v>6.7890537809962959E-2</v>
      </c>
      <c r="CE201" s="21">
        <f t="shared" si="210"/>
        <v>6.7890537809962959E-2</v>
      </c>
      <c r="CF201" s="451"/>
      <c r="CG201" s="20">
        <f>SUM(CG169:CG199)</f>
        <v>10500000</v>
      </c>
      <c r="CH201" s="20">
        <f>SUM(CH169:CH199)</f>
        <v>21200000</v>
      </c>
      <c r="CI201" s="20">
        <f>SUM(CI169:CI199)</f>
        <v>0</v>
      </c>
      <c r="CJ201" s="20">
        <f>SUM(CJ169:CJ199)</f>
        <v>0</v>
      </c>
      <c r="CK201" s="20">
        <f t="shared" ref="CK201:DT201" si="226">SUM(CK178:CK188)</f>
        <v>0</v>
      </c>
      <c r="CL201" s="20">
        <f t="shared" si="226"/>
        <v>0</v>
      </c>
      <c r="CM201" s="20">
        <f t="shared" si="226"/>
        <v>0</v>
      </c>
      <c r="CN201" s="20">
        <f t="shared" si="226"/>
        <v>0</v>
      </c>
      <c r="CO201" s="20">
        <f t="shared" si="226"/>
        <v>0</v>
      </c>
      <c r="CP201" s="20">
        <f t="shared" si="226"/>
        <v>0</v>
      </c>
      <c r="CQ201" s="20">
        <f t="shared" si="226"/>
        <v>0</v>
      </c>
      <c r="CR201" s="20">
        <f t="shared" si="226"/>
        <v>0</v>
      </c>
      <c r="CS201" s="20">
        <f t="shared" si="226"/>
        <v>0</v>
      </c>
      <c r="CT201" s="20">
        <f t="shared" si="226"/>
        <v>0</v>
      </c>
      <c r="CU201" s="20">
        <f t="shared" si="226"/>
        <v>0</v>
      </c>
      <c r="CV201" s="20">
        <f t="shared" si="226"/>
        <v>0</v>
      </c>
      <c r="CW201" s="20">
        <f t="shared" si="226"/>
        <v>43280</v>
      </c>
      <c r="CX201" s="20">
        <f t="shared" si="226"/>
        <v>0</v>
      </c>
      <c r="CY201" s="20">
        <f t="shared" si="226"/>
        <v>43280</v>
      </c>
      <c r="CZ201" s="20">
        <f t="shared" si="226"/>
        <v>0</v>
      </c>
      <c r="DA201" s="20">
        <f t="shared" si="226"/>
        <v>0</v>
      </c>
      <c r="DB201" s="20">
        <f t="shared" si="226"/>
        <v>0</v>
      </c>
      <c r="DC201" s="20">
        <f t="shared" si="226"/>
        <v>0</v>
      </c>
      <c r="DD201" s="20">
        <f t="shared" si="226"/>
        <v>0</v>
      </c>
      <c r="DE201" s="20">
        <f t="shared" si="226"/>
        <v>0</v>
      </c>
      <c r="DF201" s="20">
        <f t="shared" si="226"/>
        <v>0</v>
      </c>
      <c r="DG201" s="20">
        <f t="shared" si="226"/>
        <v>0</v>
      </c>
      <c r="DH201" s="20">
        <f t="shared" si="226"/>
        <v>0</v>
      </c>
      <c r="DI201" s="20">
        <f t="shared" si="226"/>
        <v>0</v>
      </c>
      <c r="DJ201" s="20">
        <f t="shared" si="226"/>
        <v>0</v>
      </c>
      <c r="DK201" s="20">
        <f t="shared" si="226"/>
        <v>0</v>
      </c>
      <c r="DL201" s="20">
        <f t="shared" si="226"/>
        <v>0</v>
      </c>
      <c r="DM201" s="20">
        <f t="shared" si="226"/>
        <v>0</v>
      </c>
      <c r="DN201" s="20">
        <f t="shared" si="226"/>
        <v>0</v>
      </c>
      <c r="DO201" s="20">
        <f t="shared" si="226"/>
        <v>0</v>
      </c>
      <c r="DP201" s="20">
        <f t="shared" si="226"/>
        <v>43280</v>
      </c>
      <c r="DQ201" s="20">
        <f t="shared" si="226"/>
        <v>43280</v>
      </c>
      <c r="DR201" s="20">
        <f t="shared" si="226"/>
        <v>0</v>
      </c>
      <c r="DS201" s="20">
        <f t="shared" si="226"/>
        <v>2206720</v>
      </c>
      <c r="DT201" s="20">
        <f t="shared" si="226"/>
        <v>2206720</v>
      </c>
      <c r="DU201" s="21">
        <f>DP201/AG201</f>
        <v>1.9235555555555554E-2</v>
      </c>
      <c r="DV201" s="21">
        <f>DQ201/AG201</f>
        <v>1.9235555555555554E-2</v>
      </c>
      <c r="DW201" s="293"/>
      <c r="DX201" s="293"/>
      <c r="DY201" s="20">
        <f>SUM(DY169:DY197)</f>
        <v>0</v>
      </c>
      <c r="DZ201" s="121"/>
      <c r="EA201" s="319"/>
    </row>
    <row r="202" spans="1:131" s="10" customFormat="1" ht="16.5" thickTop="1" x14ac:dyDescent="0.25">
      <c r="A202" s="61"/>
      <c r="B202" s="12"/>
      <c r="C202" s="61"/>
      <c r="D202" s="9"/>
      <c r="E202" s="3"/>
      <c r="F202" s="353"/>
      <c r="G202" s="353"/>
      <c r="H202" s="353"/>
      <c r="I202" s="9"/>
      <c r="K202" s="3"/>
      <c r="L202" s="3"/>
      <c r="M202" s="45"/>
      <c r="N202" s="3"/>
      <c r="O202" s="3"/>
      <c r="P202" s="3"/>
      <c r="Q202" s="3"/>
      <c r="R202" s="3"/>
      <c r="S202" s="3"/>
      <c r="T202" s="12"/>
      <c r="U202" s="12"/>
      <c r="V202" s="12"/>
      <c r="W202" s="63"/>
      <c r="X202" s="12"/>
      <c r="Y202" s="13"/>
      <c r="Z202" s="25"/>
      <c r="AA202" s="252"/>
      <c r="AB202" s="63"/>
      <c r="AC202" s="33"/>
      <c r="AD202" s="7"/>
      <c r="AE202" s="7">
        <f t="shared" si="213"/>
        <v>0</v>
      </c>
      <c r="AF202" s="7"/>
      <c r="AG202" s="7">
        <f t="shared" si="150"/>
        <v>0</v>
      </c>
      <c r="AH202" s="7"/>
      <c r="AI202" s="7">
        <f t="shared" si="151"/>
        <v>0</v>
      </c>
      <c r="AJ202" s="62"/>
      <c r="AK202" s="27"/>
      <c r="AL202" s="36"/>
      <c r="AM202" s="33"/>
      <c r="AN202" s="36"/>
      <c r="AO202" s="27"/>
      <c r="AP202" s="7"/>
      <c r="AQ202" s="27"/>
      <c r="AR202" s="27"/>
      <c r="AS202" s="7"/>
      <c r="AT202" s="27"/>
      <c r="AU202" s="2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15"/>
      <c r="CE202" s="15"/>
      <c r="CF202" s="451"/>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f>DC202</f>
        <v>0</v>
      </c>
      <c r="DE202" s="7"/>
      <c r="DF202" s="7">
        <f>DE202</f>
        <v>0</v>
      </c>
      <c r="DG202" s="7"/>
      <c r="DH202" s="7">
        <f>DG202</f>
        <v>0</v>
      </c>
      <c r="DI202" s="7"/>
      <c r="DJ202" s="7">
        <f>DI202</f>
        <v>0</v>
      </c>
      <c r="DK202" s="7"/>
      <c r="DL202" s="7">
        <f>DK202</f>
        <v>0</v>
      </c>
      <c r="DM202" s="7"/>
      <c r="DN202" s="7">
        <f>DM202</f>
        <v>0</v>
      </c>
      <c r="DO202" s="7"/>
      <c r="DP202" s="14"/>
      <c r="DQ202" s="14"/>
      <c r="DR202" s="7"/>
      <c r="DS202" s="7"/>
      <c r="DT202" s="7"/>
      <c r="DU202" s="15"/>
      <c r="DV202" s="15"/>
      <c r="DW202" s="15"/>
      <c r="DX202" s="15"/>
      <c r="DY202" s="7"/>
      <c r="DZ202" s="27"/>
      <c r="EA202" s="319"/>
    </row>
    <row r="203" spans="1:131" s="10" customFormat="1" x14ac:dyDescent="0.25">
      <c r="A203" s="44" t="s">
        <v>115</v>
      </c>
      <c r="B203" s="43"/>
      <c r="C203" s="44"/>
      <c r="D203" s="66"/>
      <c r="E203" s="67"/>
      <c r="F203" s="357"/>
      <c r="G203" s="357"/>
      <c r="H203" s="357"/>
      <c r="I203" s="9"/>
      <c r="K203" s="3"/>
      <c r="L203" s="3"/>
      <c r="M203" s="45"/>
      <c r="N203" s="3"/>
      <c r="O203" s="3"/>
      <c r="P203" s="3"/>
      <c r="Q203" s="3"/>
      <c r="R203" s="3"/>
      <c r="S203" s="3"/>
      <c r="T203" s="12"/>
      <c r="U203" s="12"/>
      <c r="V203" s="12"/>
      <c r="W203" s="12"/>
      <c r="X203" s="12"/>
      <c r="Y203" s="13"/>
      <c r="Z203" s="25"/>
      <c r="AA203" s="344" t="s">
        <v>115</v>
      </c>
      <c r="AB203" s="24"/>
      <c r="AC203" s="7"/>
      <c r="AD203" s="7"/>
      <c r="AE203" s="7">
        <f t="shared" si="213"/>
        <v>0</v>
      </c>
      <c r="AF203" s="7"/>
      <c r="AG203" s="7">
        <f t="shared" si="150"/>
        <v>0</v>
      </c>
      <c r="AH203" s="7"/>
      <c r="AI203" s="7">
        <f t="shared" si="151"/>
        <v>0</v>
      </c>
      <c r="AJ203" s="62"/>
      <c r="AK203" s="27"/>
      <c r="AL203" s="36"/>
      <c r="AM203" s="7"/>
      <c r="AN203" s="36"/>
      <c r="AO203" s="27"/>
      <c r="AP203" s="7"/>
      <c r="AQ203" s="27"/>
      <c r="AR203" s="27"/>
      <c r="AS203" s="7"/>
      <c r="AT203" s="27"/>
      <c r="AU203" s="2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15"/>
      <c r="CE203" s="15"/>
      <c r="CF203" s="451"/>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f>DC203</f>
        <v>0</v>
      </c>
      <c r="DE203" s="7"/>
      <c r="DF203" s="7">
        <f>DE203</f>
        <v>0</v>
      </c>
      <c r="DG203" s="7"/>
      <c r="DH203" s="7">
        <f>DG203</f>
        <v>0</v>
      </c>
      <c r="DI203" s="7"/>
      <c r="DJ203" s="7">
        <f>DI203</f>
        <v>0</v>
      </c>
      <c r="DK203" s="7"/>
      <c r="DL203" s="7">
        <f>DK203</f>
        <v>0</v>
      </c>
      <c r="DM203" s="7"/>
      <c r="DN203" s="7">
        <f>DM203</f>
        <v>0</v>
      </c>
      <c r="DO203" s="7"/>
      <c r="DP203" s="14"/>
      <c r="DQ203" s="14"/>
      <c r="DR203" s="7"/>
      <c r="DS203" s="7"/>
      <c r="DT203" s="7"/>
      <c r="DU203" s="15"/>
      <c r="DV203" s="15"/>
      <c r="DW203" s="15"/>
      <c r="DX203" s="15"/>
      <c r="DY203" s="7"/>
      <c r="DZ203" s="27"/>
      <c r="EA203" s="319"/>
    </row>
    <row r="204" spans="1:131" s="10" customFormat="1" x14ac:dyDescent="0.25">
      <c r="A204" s="24" t="s">
        <v>83</v>
      </c>
      <c r="B204" s="24" t="s">
        <v>676</v>
      </c>
      <c r="C204" s="24" t="s">
        <v>653</v>
      </c>
      <c r="D204" s="66"/>
      <c r="E204" s="3">
        <v>755005</v>
      </c>
      <c r="F204" s="353">
        <v>4</v>
      </c>
      <c r="G204" s="359" t="s">
        <v>187</v>
      </c>
      <c r="H204" s="353">
        <v>1544</v>
      </c>
      <c r="I204" s="9" t="s">
        <v>31</v>
      </c>
      <c r="J204" s="10" t="s">
        <v>72</v>
      </c>
      <c r="K204" s="3">
        <v>4</v>
      </c>
      <c r="L204" s="11" t="s">
        <v>187</v>
      </c>
      <c r="M204" s="45"/>
      <c r="N204" s="11" t="s">
        <v>186</v>
      </c>
      <c r="O204" s="11" t="s">
        <v>192</v>
      </c>
      <c r="P204" s="11" t="s">
        <v>187</v>
      </c>
      <c r="Q204" s="3" t="s">
        <v>187</v>
      </c>
      <c r="R204" s="3">
        <v>270</v>
      </c>
      <c r="S204" s="3" t="s">
        <v>188</v>
      </c>
      <c r="T204" s="12" t="s">
        <v>26</v>
      </c>
      <c r="U204" s="12" t="s">
        <v>222</v>
      </c>
      <c r="V204" s="12"/>
      <c r="W204" s="12" t="s">
        <v>2</v>
      </c>
      <c r="X204" s="12"/>
      <c r="Y204" s="25" t="s">
        <v>69</v>
      </c>
      <c r="Z204" s="25" t="s">
        <v>92</v>
      </c>
      <c r="AA204" s="9" t="s">
        <v>293</v>
      </c>
      <c r="AB204" s="12" t="s">
        <v>8</v>
      </c>
      <c r="AC204" s="7"/>
      <c r="AD204" s="7"/>
      <c r="AE204" s="7">
        <f t="shared" si="213"/>
        <v>0</v>
      </c>
      <c r="AF204" s="7"/>
      <c r="AG204" s="7">
        <f t="shared" si="150"/>
        <v>0</v>
      </c>
      <c r="AH204" s="7"/>
      <c r="AI204" s="7">
        <f t="shared" si="151"/>
        <v>0</v>
      </c>
      <c r="AJ204" s="62"/>
      <c r="AK204" s="27">
        <f>500000-300000</f>
        <v>200000</v>
      </c>
      <c r="AL204" s="36"/>
      <c r="AM204" s="33">
        <f t="shared" si="214"/>
        <v>200000</v>
      </c>
      <c r="AN204" s="36">
        <v>0</v>
      </c>
      <c r="AO204" s="27">
        <v>0</v>
      </c>
      <c r="AP204" s="7">
        <f t="shared" ref="AP204:AP245" si="227">AN204+AO204</f>
        <v>0</v>
      </c>
      <c r="AQ204" s="27"/>
      <c r="AR204" s="27"/>
      <c r="AS204" s="7">
        <f t="shared" ref="AS204:AS245" si="228">AQ204+AR204</f>
        <v>0</v>
      </c>
      <c r="AT204" s="27"/>
      <c r="AU204" s="27"/>
      <c r="AV204" s="7">
        <f t="shared" ref="AV204:AV245" si="229">AT204+AU204</f>
        <v>0</v>
      </c>
      <c r="AW204" s="7"/>
      <c r="AX204" s="7"/>
      <c r="AY204" s="7">
        <f t="shared" ref="AY204:AY252" si="230">AW204+AX204</f>
        <v>0</v>
      </c>
      <c r="AZ204" s="7"/>
      <c r="BA204" s="7"/>
      <c r="BB204" s="7">
        <f t="shared" ref="BB204:BB245" si="231">AZ204+BA204</f>
        <v>0</v>
      </c>
      <c r="BC204" s="7"/>
      <c r="BD204" s="7"/>
      <c r="BE204" s="7">
        <f t="shared" ref="BE204:BE245" si="232">BC204+BD204</f>
        <v>0</v>
      </c>
      <c r="BF204" s="7"/>
      <c r="BG204" s="7"/>
      <c r="BH204" s="7">
        <f t="shared" ref="BH204:BH245" si="233">BF204+BG204</f>
        <v>0</v>
      </c>
      <c r="BI204" s="7"/>
      <c r="BJ204" s="7"/>
      <c r="BK204" s="7">
        <f t="shared" ref="BK204:BK245" si="234">BI204+BJ204</f>
        <v>0</v>
      </c>
      <c r="BL204" s="7"/>
      <c r="BM204" s="7"/>
      <c r="BN204" s="7">
        <f t="shared" ref="BN204:BN245" si="235">BL204+BM204</f>
        <v>0</v>
      </c>
      <c r="BO204" s="7"/>
      <c r="BP204" s="7"/>
      <c r="BQ204" s="7">
        <f t="shared" ref="BQ204:BQ245" si="236">BO204+BP204</f>
        <v>0</v>
      </c>
      <c r="BR204" s="7"/>
      <c r="BS204" s="7"/>
      <c r="BT204" s="7">
        <f t="shared" ref="BT204:BT245" si="237">BR204+BS204</f>
        <v>0</v>
      </c>
      <c r="BU204" s="7"/>
      <c r="BV204" s="7"/>
      <c r="BW204" s="7">
        <f t="shared" ref="BW204:BW245" si="238">BU204+BV204</f>
        <v>0</v>
      </c>
      <c r="BX204" s="7">
        <v>44801.23</v>
      </c>
      <c r="BY204" s="7">
        <f t="shared" si="205"/>
        <v>0</v>
      </c>
      <c r="BZ204" s="7">
        <f t="shared" si="206"/>
        <v>0</v>
      </c>
      <c r="CA204" s="7"/>
      <c r="CB204" s="7">
        <f t="shared" si="207"/>
        <v>200000</v>
      </c>
      <c r="CC204" s="7">
        <f t="shared" si="208"/>
        <v>200000</v>
      </c>
      <c r="CD204" s="15">
        <f t="shared" si="209"/>
        <v>0</v>
      </c>
      <c r="CE204" s="15">
        <f t="shared" si="210"/>
        <v>0</v>
      </c>
      <c r="CF204" s="451" t="s">
        <v>686</v>
      </c>
      <c r="CG204" s="7">
        <v>500000</v>
      </c>
      <c r="CH204" s="7">
        <v>500000</v>
      </c>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14"/>
      <c r="DQ204" s="14"/>
      <c r="DR204" s="7"/>
      <c r="DS204" s="7"/>
      <c r="DT204" s="7"/>
      <c r="DU204" s="15"/>
      <c r="DV204" s="15"/>
      <c r="DW204" s="15"/>
      <c r="DX204" s="15"/>
      <c r="DY204" s="7"/>
      <c r="DZ204" s="27"/>
      <c r="EA204" s="319"/>
    </row>
    <row r="205" spans="1:131" s="10" customFormat="1" ht="30.75" x14ac:dyDescent="0.25">
      <c r="A205" s="24" t="s">
        <v>83</v>
      </c>
      <c r="B205" s="24" t="s">
        <v>74</v>
      </c>
      <c r="C205" s="24" t="s">
        <v>640</v>
      </c>
      <c r="D205" s="10" t="s">
        <v>74</v>
      </c>
      <c r="E205" s="3">
        <v>755010</v>
      </c>
      <c r="F205" s="353">
        <v>4</v>
      </c>
      <c r="G205" s="353">
        <v>36</v>
      </c>
      <c r="H205" s="353">
        <v>1539</v>
      </c>
      <c r="I205" s="9" t="s">
        <v>31</v>
      </c>
      <c r="J205" s="10" t="s">
        <v>75</v>
      </c>
      <c r="K205" s="3">
        <v>4</v>
      </c>
      <c r="L205" s="3">
        <v>36</v>
      </c>
      <c r="M205" s="45"/>
      <c r="N205" s="3" t="s">
        <v>186</v>
      </c>
      <c r="O205" s="11" t="s">
        <v>192</v>
      </c>
      <c r="P205" s="3" t="s">
        <v>187</v>
      </c>
      <c r="Q205" s="3" t="s">
        <v>187</v>
      </c>
      <c r="R205" s="3">
        <v>150</v>
      </c>
      <c r="S205" s="3" t="s">
        <v>188</v>
      </c>
      <c r="T205" s="12" t="s">
        <v>48</v>
      </c>
      <c r="U205" s="12" t="s">
        <v>222</v>
      </c>
      <c r="V205" s="12"/>
      <c r="W205" s="12" t="s">
        <v>2</v>
      </c>
      <c r="X205" s="8" t="s">
        <v>59</v>
      </c>
      <c r="Y205" s="25" t="s">
        <v>69</v>
      </c>
      <c r="Z205" s="25" t="s">
        <v>95</v>
      </c>
      <c r="AA205" s="252" t="s">
        <v>118</v>
      </c>
      <c r="AB205" s="110" t="s">
        <v>37</v>
      </c>
      <c r="AC205" s="7">
        <v>3000000</v>
      </c>
      <c r="AD205" s="7"/>
      <c r="AE205" s="7">
        <f t="shared" si="213"/>
        <v>3000000</v>
      </c>
      <c r="AF205" s="7"/>
      <c r="AG205" s="7">
        <f t="shared" si="150"/>
        <v>3000000</v>
      </c>
      <c r="AH205" s="7"/>
      <c r="AI205" s="7">
        <f t="shared" si="151"/>
        <v>3000000</v>
      </c>
      <c r="AJ205" s="62"/>
      <c r="AK205" s="7">
        <f>5000000-3000000</f>
        <v>2000000</v>
      </c>
      <c r="AL205" s="33"/>
      <c r="AM205" s="33">
        <f t="shared" si="214"/>
        <v>2000000</v>
      </c>
      <c r="AN205" s="33">
        <v>0</v>
      </c>
      <c r="AO205" s="7">
        <v>0</v>
      </c>
      <c r="AP205" s="7">
        <f t="shared" si="227"/>
        <v>0</v>
      </c>
      <c r="AQ205" s="7"/>
      <c r="AR205" s="7"/>
      <c r="AS205" s="7">
        <f t="shared" si="228"/>
        <v>0</v>
      </c>
      <c r="AT205" s="7"/>
      <c r="AU205" s="7"/>
      <c r="AV205" s="7">
        <f t="shared" si="229"/>
        <v>0</v>
      </c>
      <c r="AW205" s="7">
        <v>4196.91</v>
      </c>
      <c r="AX205" s="7"/>
      <c r="AY205" s="7">
        <f t="shared" si="230"/>
        <v>4196.91</v>
      </c>
      <c r="AZ205" s="7"/>
      <c r="BA205" s="7"/>
      <c r="BB205" s="7">
        <f t="shared" si="231"/>
        <v>0</v>
      </c>
      <c r="BC205" s="7"/>
      <c r="BD205" s="7"/>
      <c r="BE205" s="7">
        <f t="shared" si="232"/>
        <v>0</v>
      </c>
      <c r="BF205" s="7"/>
      <c r="BG205" s="7"/>
      <c r="BH205" s="7">
        <f t="shared" si="233"/>
        <v>0</v>
      </c>
      <c r="BI205" s="7"/>
      <c r="BJ205" s="7"/>
      <c r="BK205" s="7">
        <f t="shared" si="234"/>
        <v>0</v>
      </c>
      <c r="BL205" s="7"/>
      <c r="BM205" s="7"/>
      <c r="BN205" s="7">
        <f t="shared" si="235"/>
        <v>0</v>
      </c>
      <c r="BO205" s="7"/>
      <c r="BP205" s="7"/>
      <c r="BQ205" s="7">
        <f t="shared" si="236"/>
        <v>0</v>
      </c>
      <c r="BR205" s="7"/>
      <c r="BS205" s="7"/>
      <c r="BT205" s="7">
        <f t="shared" si="237"/>
        <v>0</v>
      </c>
      <c r="BU205" s="7"/>
      <c r="BV205" s="7"/>
      <c r="BW205" s="7">
        <f t="shared" si="238"/>
        <v>0</v>
      </c>
      <c r="BX205" s="7">
        <v>658026.64</v>
      </c>
      <c r="BY205" s="7">
        <f t="shared" si="205"/>
        <v>4196.91</v>
      </c>
      <c r="BZ205" s="7">
        <f t="shared" si="206"/>
        <v>4196.91</v>
      </c>
      <c r="CA205" s="7"/>
      <c r="CB205" s="7">
        <f t="shared" si="207"/>
        <v>1995803.09</v>
      </c>
      <c r="CC205" s="7">
        <f t="shared" si="208"/>
        <v>1995803.09</v>
      </c>
      <c r="CD205" s="15">
        <f t="shared" si="209"/>
        <v>2.0984549999999999E-3</v>
      </c>
      <c r="CE205" s="15">
        <f t="shared" si="210"/>
        <v>2.0984549999999999E-3</v>
      </c>
      <c r="CF205" s="451" t="s">
        <v>685</v>
      </c>
      <c r="CG205" s="7">
        <v>0</v>
      </c>
      <c r="CH205" s="7">
        <v>0</v>
      </c>
      <c r="CI205" s="7"/>
      <c r="CJ205" s="7"/>
      <c r="CK205" s="7"/>
      <c r="CL205" s="7">
        <f>CK205</f>
        <v>0</v>
      </c>
      <c r="CM205" s="7"/>
      <c r="CN205" s="7">
        <f>CM205</f>
        <v>0</v>
      </c>
      <c r="CO205" s="7">
        <v>4531.5600000000004</v>
      </c>
      <c r="CP205" s="7">
        <v>634.41</v>
      </c>
      <c r="CQ205" s="7">
        <f>CO205+CP205</f>
        <v>5165.97</v>
      </c>
      <c r="CR205" s="7">
        <f>CK205+CM205+CO205</f>
        <v>4531.5600000000004</v>
      </c>
      <c r="CS205" s="7">
        <f>CL205+CN205+CQ205</f>
        <v>5165.97</v>
      </c>
      <c r="CT205" s="7"/>
      <c r="CU205" s="7"/>
      <c r="CV205" s="7">
        <f>CT205+CU205</f>
        <v>0</v>
      </c>
      <c r="CW205" s="7"/>
      <c r="CX205" s="7"/>
      <c r="CY205" s="7">
        <f>CW205+CX205</f>
        <v>0</v>
      </c>
      <c r="CZ205" s="7"/>
      <c r="DA205" s="7"/>
      <c r="DB205" s="7">
        <f>CZ205+DA205</f>
        <v>0</v>
      </c>
      <c r="DC205" s="7"/>
      <c r="DD205" s="7">
        <f>DC205</f>
        <v>0</v>
      </c>
      <c r="DE205" s="7"/>
      <c r="DF205" s="7">
        <f>DE205</f>
        <v>0</v>
      </c>
      <c r="DG205" s="7"/>
      <c r="DH205" s="7">
        <f>DG205</f>
        <v>0</v>
      </c>
      <c r="DI205" s="7"/>
      <c r="DJ205" s="7">
        <f>DI205</f>
        <v>0</v>
      </c>
      <c r="DK205" s="7"/>
      <c r="DL205" s="7">
        <f>DK205</f>
        <v>0</v>
      </c>
      <c r="DM205" s="7"/>
      <c r="DN205" s="7">
        <f>DM205</f>
        <v>0</v>
      </c>
      <c r="DO205" s="7"/>
      <c r="DP205" s="14">
        <f>CK205+CM205+CO205+CT205+CW205+CZ205+DC205+DE205+DG205+DI205+DK205+DM205</f>
        <v>4531.5600000000004</v>
      </c>
      <c r="DQ205" s="14">
        <f>CL205+CN205+CQ205+CV205+CY205+DB205</f>
        <v>5165.97</v>
      </c>
      <c r="DR205" s="7"/>
      <c r="DS205" s="7">
        <f>AG205-DP205</f>
        <v>2995468.44</v>
      </c>
      <c r="DT205" s="7">
        <f>AG205-DQ205</f>
        <v>2994834.03</v>
      </c>
      <c r="DU205" s="15">
        <f t="shared" ref="DU205:DU222" si="239">DP205/AG205</f>
        <v>1.5105200000000002E-3</v>
      </c>
      <c r="DV205" s="15">
        <f t="shared" ref="DV205:DV222" si="240">DQ205/AG205</f>
        <v>1.7219900000000001E-3</v>
      </c>
      <c r="DW205" s="7"/>
      <c r="DX205" s="7"/>
      <c r="DY205" s="7"/>
      <c r="DZ205" s="27"/>
      <c r="EA205" s="319"/>
    </row>
    <row r="206" spans="1:131" s="10" customFormat="1" x14ac:dyDescent="0.25">
      <c r="A206" s="24" t="s">
        <v>83</v>
      </c>
      <c r="B206" s="24" t="s">
        <v>66</v>
      </c>
      <c r="C206" s="8" t="s">
        <v>626</v>
      </c>
      <c r="E206" s="3">
        <v>755010</v>
      </c>
      <c r="F206" s="353">
        <v>5</v>
      </c>
      <c r="G206" s="359" t="s">
        <v>186</v>
      </c>
      <c r="H206" s="353">
        <v>1505</v>
      </c>
      <c r="I206" s="9" t="s">
        <v>246</v>
      </c>
      <c r="J206" s="10" t="s">
        <v>75</v>
      </c>
      <c r="K206" s="3">
        <v>4</v>
      </c>
      <c r="L206" s="11" t="s">
        <v>187</v>
      </c>
      <c r="M206" s="45"/>
      <c r="N206" s="11" t="s">
        <v>186</v>
      </c>
      <c r="O206" s="11" t="s">
        <v>189</v>
      </c>
      <c r="P206" s="11" t="s">
        <v>187</v>
      </c>
      <c r="Q206" s="11" t="s">
        <v>187</v>
      </c>
      <c r="R206" s="3">
        <v>270</v>
      </c>
      <c r="S206" s="11" t="s">
        <v>188</v>
      </c>
      <c r="T206" s="12" t="s">
        <v>26</v>
      </c>
      <c r="U206" s="12" t="s">
        <v>222</v>
      </c>
      <c r="V206" s="12"/>
      <c r="W206" s="12" t="s">
        <v>5</v>
      </c>
      <c r="X206" s="8"/>
      <c r="Y206" s="25"/>
      <c r="Z206" s="3" t="s">
        <v>92</v>
      </c>
      <c r="AA206" s="336" t="s">
        <v>436</v>
      </c>
      <c r="AB206" s="12" t="s">
        <v>8</v>
      </c>
      <c r="AC206" s="7"/>
      <c r="AD206" s="7"/>
      <c r="AE206" s="7">
        <f t="shared" si="213"/>
        <v>0</v>
      </c>
      <c r="AF206" s="7"/>
      <c r="AG206" s="7">
        <f t="shared" ref="AG206" si="241">AE206+AF206</f>
        <v>0</v>
      </c>
      <c r="AH206" s="7"/>
      <c r="AI206" s="7">
        <f t="shared" ref="AI206" si="242">+AG206+AH206</f>
        <v>0</v>
      </c>
      <c r="AJ206" s="62"/>
      <c r="AK206" s="7"/>
      <c r="AL206" s="7">
        <v>14000</v>
      </c>
      <c r="AM206" s="33">
        <f t="shared" si="214"/>
        <v>14000</v>
      </c>
      <c r="AN206" s="33"/>
      <c r="AO206" s="7"/>
      <c r="AP206" s="7">
        <f t="shared" si="227"/>
        <v>0</v>
      </c>
      <c r="AQ206" s="7"/>
      <c r="AR206" s="7"/>
      <c r="AS206" s="7">
        <f t="shared" si="228"/>
        <v>0</v>
      </c>
      <c r="AT206" s="7">
        <v>13675.44</v>
      </c>
      <c r="AU206" s="7"/>
      <c r="AV206" s="7">
        <f t="shared" si="229"/>
        <v>13675.44</v>
      </c>
      <c r="AW206" s="7"/>
      <c r="AX206" s="7"/>
      <c r="AY206" s="7">
        <f t="shared" si="230"/>
        <v>0</v>
      </c>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f t="shared" si="205"/>
        <v>13675.44</v>
      </c>
      <c r="BZ206" s="7">
        <f t="shared" si="206"/>
        <v>13675.44</v>
      </c>
      <c r="CA206" s="7"/>
      <c r="CB206" s="7">
        <f t="shared" si="207"/>
        <v>324.55999999999949</v>
      </c>
      <c r="CC206" s="7">
        <f t="shared" si="208"/>
        <v>324.55999999999949</v>
      </c>
      <c r="CD206" s="15">
        <f t="shared" si="209"/>
        <v>0.97681714285714294</v>
      </c>
      <c r="CE206" s="15">
        <f t="shared" si="210"/>
        <v>0.97681714285714294</v>
      </c>
      <c r="CF206" s="451" t="s">
        <v>821</v>
      </c>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14"/>
      <c r="DQ206" s="14"/>
      <c r="DR206" s="7"/>
      <c r="DS206" s="7"/>
      <c r="DT206" s="7"/>
      <c r="DU206" s="15"/>
      <c r="DV206" s="15"/>
      <c r="DW206" s="7"/>
      <c r="DX206" s="7"/>
      <c r="DY206" s="7"/>
      <c r="DZ206" s="27"/>
      <c r="EA206" s="319"/>
    </row>
    <row r="207" spans="1:131" s="10" customFormat="1" ht="45.75" x14ac:dyDescent="0.25">
      <c r="A207" s="24" t="s">
        <v>83</v>
      </c>
      <c r="B207" s="24" t="s">
        <v>67</v>
      </c>
      <c r="C207" s="24" t="s">
        <v>241</v>
      </c>
      <c r="D207" s="10" t="s">
        <v>74</v>
      </c>
      <c r="E207" s="3">
        <v>755025</v>
      </c>
      <c r="F207" s="353">
        <v>4</v>
      </c>
      <c r="G207" s="353">
        <v>36</v>
      </c>
      <c r="H207" s="353">
        <v>1540</v>
      </c>
      <c r="I207" s="9" t="s">
        <v>43</v>
      </c>
      <c r="J207" s="10" t="s">
        <v>74</v>
      </c>
      <c r="K207" s="3">
        <v>4</v>
      </c>
      <c r="L207" s="3">
        <v>36</v>
      </c>
      <c r="M207" s="45"/>
      <c r="N207" s="3" t="s">
        <v>186</v>
      </c>
      <c r="O207" s="3" t="s">
        <v>192</v>
      </c>
      <c r="P207" s="3" t="s">
        <v>187</v>
      </c>
      <c r="Q207" s="3" t="s">
        <v>187</v>
      </c>
      <c r="R207" s="3">
        <v>220</v>
      </c>
      <c r="S207" s="3" t="s">
        <v>188</v>
      </c>
      <c r="T207" s="12" t="s">
        <v>27</v>
      </c>
      <c r="U207" s="12" t="s">
        <v>222</v>
      </c>
      <c r="V207" s="12"/>
      <c r="W207" s="12" t="s">
        <v>2</v>
      </c>
      <c r="X207" s="8" t="s">
        <v>4</v>
      </c>
      <c r="Y207" s="25" t="s">
        <v>69</v>
      </c>
      <c r="Z207" s="25" t="s">
        <v>92</v>
      </c>
      <c r="AA207" s="252" t="s">
        <v>279</v>
      </c>
      <c r="AB207" s="110" t="s">
        <v>37</v>
      </c>
      <c r="AC207" s="7">
        <v>12040943</v>
      </c>
      <c r="AD207" s="7"/>
      <c r="AE207" s="7">
        <f>AC207+AD207-4000000</f>
        <v>8040943</v>
      </c>
      <c r="AF207" s="7">
        <v>3000000</v>
      </c>
      <c r="AG207" s="7">
        <f t="shared" ref="AG207:AG243" si="243">AE207+AF207</f>
        <v>11040943</v>
      </c>
      <c r="AH207" s="7">
        <v>7500000</v>
      </c>
      <c r="AI207" s="7">
        <f t="shared" ref="AI207:AI245" si="244">+AG207+AH207</f>
        <v>18540943</v>
      </c>
      <c r="AJ207" s="62"/>
      <c r="AK207" s="7">
        <v>10000000</v>
      </c>
      <c r="AL207" s="33"/>
      <c r="AM207" s="33">
        <f t="shared" si="214"/>
        <v>10000000</v>
      </c>
      <c r="AN207" s="33">
        <v>0</v>
      </c>
      <c r="AO207" s="7">
        <v>0</v>
      </c>
      <c r="AP207" s="7">
        <f t="shared" si="227"/>
        <v>0</v>
      </c>
      <c r="AQ207" s="7"/>
      <c r="AR207" s="7"/>
      <c r="AS207" s="7">
        <f t="shared" si="228"/>
        <v>0</v>
      </c>
      <c r="AT207" s="7"/>
      <c r="AU207" s="7"/>
      <c r="AV207" s="7">
        <f t="shared" si="229"/>
        <v>0</v>
      </c>
      <c r="AW207" s="7"/>
      <c r="AX207" s="7"/>
      <c r="AY207" s="7">
        <f t="shared" si="230"/>
        <v>0</v>
      </c>
      <c r="AZ207" s="7"/>
      <c r="BA207" s="7"/>
      <c r="BB207" s="7">
        <f t="shared" si="231"/>
        <v>0</v>
      </c>
      <c r="BC207" s="7"/>
      <c r="BD207" s="7"/>
      <c r="BE207" s="7">
        <f t="shared" si="232"/>
        <v>0</v>
      </c>
      <c r="BF207" s="7"/>
      <c r="BG207" s="7"/>
      <c r="BH207" s="7">
        <f t="shared" si="233"/>
        <v>0</v>
      </c>
      <c r="BI207" s="7"/>
      <c r="BJ207" s="7"/>
      <c r="BK207" s="7">
        <f t="shared" si="234"/>
        <v>0</v>
      </c>
      <c r="BL207" s="7"/>
      <c r="BM207" s="7"/>
      <c r="BN207" s="7">
        <f t="shared" si="235"/>
        <v>0</v>
      </c>
      <c r="BO207" s="7"/>
      <c r="BP207" s="7"/>
      <c r="BQ207" s="7">
        <f t="shared" si="236"/>
        <v>0</v>
      </c>
      <c r="BR207" s="7"/>
      <c r="BS207" s="7"/>
      <c r="BT207" s="7">
        <f t="shared" si="237"/>
        <v>0</v>
      </c>
      <c r="BU207" s="7"/>
      <c r="BV207" s="7"/>
      <c r="BW207" s="7">
        <f t="shared" si="238"/>
        <v>0</v>
      </c>
      <c r="BX207" s="7">
        <v>5415228.2400000002</v>
      </c>
      <c r="BY207" s="7">
        <f t="shared" si="205"/>
        <v>0</v>
      </c>
      <c r="BZ207" s="7">
        <f t="shared" si="206"/>
        <v>0</v>
      </c>
      <c r="CA207" s="7"/>
      <c r="CB207" s="7">
        <f t="shared" si="207"/>
        <v>10000000</v>
      </c>
      <c r="CC207" s="7">
        <f t="shared" si="208"/>
        <v>10000000</v>
      </c>
      <c r="CD207" s="15">
        <f t="shared" si="209"/>
        <v>0</v>
      </c>
      <c r="CE207" s="15">
        <f t="shared" si="210"/>
        <v>0</v>
      </c>
      <c r="CF207" s="451" t="s">
        <v>848</v>
      </c>
      <c r="CG207" s="7">
        <v>8000000</v>
      </c>
      <c r="CH207" s="7">
        <v>8000000</v>
      </c>
      <c r="CI207" s="7"/>
      <c r="CJ207" s="7"/>
      <c r="CK207" s="7"/>
      <c r="CL207" s="7">
        <f>CK207</f>
        <v>0</v>
      </c>
      <c r="CM207" s="7">
        <v>91583.2</v>
      </c>
      <c r="CN207" s="7">
        <f>CM207+2743.72</f>
        <v>94326.92</v>
      </c>
      <c r="CO207" s="7">
        <v>581732.54</v>
      </c>
      <c r="CP207" s="7">
        <v>8018.19</v>
      </c>
      <c r="CQ207" s="7">
        <f t="shared" ref="CQ207:CQ243" si="245">CO207+CP207</f>
        <v>589750.73</v>
      </c>
      <c r="CR207" s="7">
        <f>CK207+CM207+CO207</f>
        <v>673315.74</v>
      </c>
      <c r="CS207" s="7">
        <f>CL207+CN207+CQ207</f>
        <v>684077.65</v>
      </c>
      <c r="CT207" s="7">
        <v>660644.36</v>
      </c>
      <c r="CU207" s="7">
        <v>88006.48</v>
      </c>
      <c r="CV207" s="7">
        <f>CT207+CU207</f>
        <v>748650.84</v>
      </c>
      <c r="CW207" s="7">
        <v>1691335.57</v>
      </c>
      <c r="CX207" s="7">
        <v>212536.29</v>
      </c>
      <c r="CY207" s="7">
        <f t="shared" ref="CY207:CY243" si="246">CW207+CX207</f>
        <v>1903871.86</v>
      </c>
      <c r="CZ207" s="7">
        <v>3734448.25</v>
      </c>
      <c r="DA207" s="7">
        <v>432675.81</v>
      </c>
      <c r="DB207" s="7">
        <f t="shared" ref="DB207:DB245" si="247">CZ207+DA207</f>
        <v>4167124.06</v>
      </c>
      <c r="DC207" s="7"/>
      <c r="DD207" s="7">
        <f>DC207</f>
        <v>0</v>
      </c>
      <c r="DE207" s="7"/>
      <c r="DF207" s="7">
        <f>DE207</f>
        <v>0</v>
      </c>
      <c r="DG207" s="7"/>
      <c r="DH207" s="7">
        <f>DG207</f>
        <v>0</v>
      </c>
      <c r="DI207" s="7"/>
      <c r="DJ207" s="7">
        <f>DI207</f>
        <v>0</v>
      </c>
      <c r="DK207" s="7"/>
      <c r="DL207" s="7">
        <f>DK207</f>
        <v>0</v>
      </c>
      <c r="DM207" s="7"/>
      <c r="DN207" s="7">
        <f>DM207</f>
        <v>0</v>
      </c>
      <c r="DO207" s="7">
        <v>4981912.0599999996</v>
      </c>
      <c r="DP207" s="14">
        <f t="shared" ref="DP207:DP243" si="248">CK207+CM207+CO207+CT207+CW207+CZ207+DC207+DE207+DG207+DI207+DK207+DM207</f>
        <v>6759743.9199999999</v>
      </c>
      <c r="DQ207" s="14">
        <f t="shared" ref="DQ207:DQ245" si="249">CL207+CN207+CQ207+CV207+CY207+DB207</f>
        <v>7503724.4100000001</v>
      </c>
      <c r="DR207" s="7"/>
      <c r="DS207" s="7">
        <f t="shared" ref="DS207:DS243" si="250">AG207-DP207</f>
        <v>4281199.08</v>
      </c>
      <c r="DT207" s="7">
        <f t="shared" ref="DT207:DT243" si="251">AG207-DQ207</f>
        <v>3537218.59</v>
      </c>
      <c r="DU207" s="15">
        <f t="shared" si="239"/>
        <v>0.61224334914146372</v>
      </c>
      <c r="DV207" s="15">
        <f t="shared" si="240"/>
        <v>0.67962713058114688</v>
      </c>
      <c r="DW207" s="7">
        <v>10000000</v>
      </c>
      <c r="DX207" s="7"/>
      <c r="DY207" s="7"/>
      <c r="DZ207" s="27"/>
      <c r="EA207" s="319"/>
    </row>
    <row r="208" spans="1:131" s="10" customFormat="1" x14ac:dyDescent="0.25">
      <c r="A208" s="24" t="s">
        <v>83</v>
      </c>
      <c r="B208" s="24"/>
      <c r="C208" s="24" t="s">
        <v>241</v>
      </c>
      <c r="E208" s="3">
        <v>755025</v>
      </c>
      <c r="F208" s="353">
        <v>6</v>
      </c>
      <c r="G208" s="359" t="s">
        <v>187</v>
      </c>
      <c r="H208" s="353">
        <v>1523</v>
      </c>
      <c r="I208" s="9" t="s">
        <v>43</v>
      </c>
      <c r="J208" s="10" t="s">
        <v>75</v>
      </c>
      <c r="K208" s="3"/>
      <c r="L208" s="3"/>
      <c r="M208" s="45"/>
      <c r="N208" s="3" t="s">
        <v>186</v>
      </c>
      <c r="O208" s="3" t="s">
        <v>192</v>
      </c>
      <c r="P208" s="3" t="s">
        <v>187</v>
      </c>
      <c r="Q208" s="3" t="s">
        <v>187</v>
      </c>
      <c r="R208" s="3">
        <v>250</v>
      </c>
      <c r="S208" s="11" t="s">
        <v>259</v>
      </c>
      <c r="T208" s="12" t="s">
        <v>46</v>
      </c>
      <c r="U208" s="12" t="s">
        <v>222</v>
      </c>
      <c r="V208" s="12"/>
      <c r="W208" s="12"/>
      <c r="X208" s="8"/>
      <c r="Y208" s="25"/>
      <c r="Z208" s="25"/>
      <c r="AA208" s="252" t="s">
        <v>723</v>
      </c>
      <c r="AB208" s="12" t="s">
        <v>697</v>
      </c>
      <c r="AC208" s="7"/>
      <c r="AD208" s="7"/>
      <c r="AE208" s="7"/>
      <c r="AF208" s="7"/>
      <c r="AG208" s="7"/>
      <c r="AH208" s="7"/>
      <c r="AI208" s="7"/>
      <c r="AJ208" s="62"/>
      <c r="AK208" s="7"/>
      <c r="AL208" s="33">
        <v>1700000</v>
      </c>
      <c r="AM208" s="33">
        <f t="shared" si="214"/>
        <v>1700000</v>
      </c>
      <c r="AN208" s="33"/>
      <c r="AO208" s="7"/>
      <c r="AP208" s="7">
        <f t="shared" si="227"/>
        <v>0</v>
      </c>
      <c r="AQ208" s="7"/>
      <c r="AR208" s="7"/>
      <c r="AS208" s="7">
        <f t="shared" si="228"/>
        <v>0</v>
      </c>
      <c r="AT208" s="7"/>
      <c r="AU208" s="7"/>
      <c r="AV208" s="7">
        <f t="shared" si="229"/>
        <v>0</v>
      </c>
      <c r="AW208" s="7"/>
      <c r="AX208" s="7"/>
      <c r="AY208" s="7">
        <f t="shared" si="230"/>
        <v>0</v>
      </c>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f t="shared" si="205"/>
        <v>0</v>
      </c>
      <c r="BZ208" s="7">
        <f t="shared" si="206"/>
        <v>0</v>
      </c>
      <c r="CA208" s="7"/>
      <c r="CB208" s="7">
        <f t="shared" si="207"/>
        <v>1700000</v>
      </c>
      <c r="CC208" s="7">
        <f t="shared" si="208"/>
        <v>1700000</v>
      </c>
      <c r="CD208" s="15">
        <f t="shared" si="209"/>
        <v>0</v>
      </c>
      <c r="CE208" s="15">
        <f t="shared" si="210"/>
        <v>0</v>
      </c>
      <c r="CF208" s="451" t="s">
        <v>871</v>
      </c>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14"/>
      <c r="DQ208" s="14"/>
      <c r="DR208" s="7"/>
      <c r="DS208" s="7"/>
      <c r="DT208" s="7"/>
      <c r="DU208" s="15"/>
      <c r="DV208" s="15"/>
      <c r="DW208" s="7"/>
      <c r="DX208" s="7"/>
      <c r="DY208" s="7"/>
      <c r="DZ208" s="27"/>
      <c r="EA208" s="319"/>
    </row>
    <row r="209" spans="1:131" s="10" customFormat="1" x14ac:dyDescent="0.25">
      <c r="A209" s="24" t="s">
        <v>83</v>
      </c>
      <c r="B209" s="24" t="s">
        <v>67</v>
      </c>
      <c r="C209" s="8" t="s">
        <v>626</v>
      </c>
      <c r="E209" s="3">
        <v>755025</v>
      </c>
      <c r="F209" s="353">
        <v>5</v>
      </c>
      <c r="G209" s="359" t="s">
        <v>186</v>
      </c>
      <c r="H209" s="353">
        <v>1512</v>
      </c>
      <c r="I209" s="9" t="s">
        <v>246</v>
      </c>
      <c r="J209" s="10" t="s">
        <v>75</v>
      </c>
      <c r="K209" s="3">
        <v>4</v>
      </c>
      <c r="L209" s="11" t="s">
        <v>187</v>
      </c>
      <c r="M209" s="45"/>
      <c r="N209" s="11" t="s">
        <v>186</v>
      </c>
      <c r="O209" s="11" t="s">
        <v>189</v>
      </c>
      <c r="P209" s="11" t="s">
        <v>187</v>
      </c>
      <c r="Q209" s="11" t="s">
        <v>187</v>
      </c>
      <c r="R209" s="3">
        <v>270</v>
      </c>
      <c r="S209" s="11" t="s">
        <v>188</v>
      </c>
      <c r="T209" s="12" t="s">
        <v>26</v>
      </c>
      <c r="U209" s="12" t="s">
        <v>222</v>
      </c>
      <c r="V209" s="12"/>
      <c r="W209" s="12"/>
      <c r="X209" s="8"/>
      <c r="Y209" s="25" t="s">
        <v>100</v>
      </c>
      <c r="Z209" s="3" t="s">
        <v>92</v>
      </c>
      <c r="AA209" s="336" t="s">
        <v>436</v>
      </c>
      <c r="AB209" s="12" t="s">
        <v>8</v>
      </c>
      <c r="AC209" s="7"/>
      <c r="AD209" s="7"/>
      <c r="AE209" s="7"/>
      <c r="AF209" s="7"/>
      <c r="AG209" s="7"/>
      <c r="AH209" s="7"/>
      <c r="AI209" s="7"/>
      <c r="AJ209" s="62"/>
      <c r="AK209" s="7"/>
      <c r="AL209" s="7">
        <v>57250</v>
      </c>
      <c r="AM209" s="33">
        <f t="shared" si="214"/>
        <v>57250</v>
      </c>
      <c r="AN209" s="33"/>
      <c r="AO209" s="7"/>
      <c r="AP209" s="7">
        <f t="shared" si="227"/>
        <v>0</v>
      </c>
      <c r="AQ209" s="7"/>
      <c r="AR209" s="7"/>
      <c r="AS209" s="7">
        <f t="shared" si="228"/>
        <v>0</v>
      </c>
      <c r="AT209" s="7"/>
      <c r="AU209" s="7"/>
      <c r="AV209" s="7">
        <f t="shared" si="229"/>
        <v>0</v>
      </c>
      <c r="AW209" s="7"/>
      <c r="AX209" s="7"/>
      <c r="AY209" s="7">
        <f t="shared" si="230"/>
        <v>0</v>
      </c>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f t="shared" si="205"/>
        <v>0</v>
      </c>
      <c r="BZ209" s="7">
        <f t="shared" si="206"/>
        <v>0</v>
      </c>
      <c r="CA209" s="7"/>
      <c r="CB209" s="7">
        <f t="shared" si="207"/>
        <v>57250</v>
      </c>
      <c r="CC209" s="7">
        <f t="shared" si="208"/>
        <v>57250</v>
      </c>
      <c r="CD209" s="15">
        <f t="shared" si="209"/>
        <v>0</v>
      </c>
      <c r="CE209" s="15">
        <f t="shared" si="210"/>
        <v>0</v>
      </c>
      <c r="CF209" s="451" t="s">
        <v>868</v>
      </c>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14"/>
      <c r="DQ209" s="14"/>
      <c r="DR209" s="7"/>
      <c r="DS209" s="7"/>
      <c r="DT209" s="7"/>
      <c r="DU209" s="15"/>
      <c r="DV209" s="15"/>
      <c r="DW209" s="7"/>
      <c r="DX209" s="7"/>
      <c r="DY209" s="7"/>
      <c r="DZ209" s="27"/>
      <c r="EA209" s="319"/>
    </row>
    <row r="210" spans="1:131" s="10" customFormat="1" x14ac:dyDescent="0.25">
      <c r="A210" s="24" t="s">
        <v>83</v>
      </c>
      <c r="B210" s="24" t="s">
        <v>3</v>
      </c>
      <c r="C210" s="8" t="s">
        <v>626</v>
      </c>
      <c r="E210" s="3">
        <v>760010</v>
      </c>
      <c r="F210" s="353">
        <v>5</v>
      </c>
      <c r="G210" s="359" t="s">
        <v>186</v>
      </c>
      <c r="H210" s="353">
        <v>1508</v>
      </c>
      <c r="I210" s="9" t="s">
        <v>246</v>
      </c>
      <c r="J210" s="10" t="s">
        <v>75</v>
      </c>
      <c r="K210" s="3">
        <v>4</v>
      </c>
      <c r="L210" s="11" t="s">
        <v>187</v>
      </c>
      <c r="M210" s="45"/>
      <c r="N210" s="11" t="s">
        <v>186</v>
      </c>
      <c r="O210" s="11" t="s">
        <v>189</v>
      </c>
      <c r="P210" s="11" t="s">
        <v>187</v>
      </c>
      <c r="Q210" s="11" t="s">
        <v>187</v>
      </c>
      <c r="R210" s="3">
        <v>270</v>
      </c>
      <c r="S210" s="11" t="s">
        <v>188</v>
      </c>
      <c r="T210" s="12" t="s">
        <v>26</v>
      </c>
      <c r="U210" s="12" t="s">
        <v>222</v>
      </c>
      <c r="V210" s="12"/>
      <c r="W210" s="12"/>
      <c r="X210" s="8"/>
      <c r="Y210" s="25" t="s">
        <v>100</v>
      </c>
      <c r="Z210" s="3" t="s">
        <v>92</v>
      </c>
      <c r="AA210" s="336" t="s">
        <v>436</v>
      </c>
      <c r="AB210" s="12" t="s">
        <v>8</v>
      </c>
      <c r="AC210" s="7"/>
      <c r="AD210" s="7"/>
      <c r="AE210" s="7"/>
      <c r="AF210" s="7"/>
      <c r="AG210" s="7"/>
      <c r="AH210" s="7"/>
      <c r="AI210" s="7"/>
      <c r="AJ210" s="62"/>
      <c r="AK210" s="7"/>
      <c r="AL210" s="7">
        <v>1700</v>
      </c>
      <c r="AM210" s="33">
        <f t="shared" si="214"/>
        <v>1700</v>
      </c>
      <c r="AN210" s="33"/>
      <c r="AO210" s="7"/>
      <c r="AP210" s="7">
        <f t="shared" si="227"/>
        <v>0</v>
      </c>
      <c r="AQ210" s="7"/>
      <c r="AR210" s="7"/>
      <c r="AS210" s="7">
        <f t="shared" si="228"/>
        <v>0</v>
      </c>
      <c r="AT210" s="7"/>
      <c r="AU210" s="7"/>
      <c r="AV210" s="7">
        <f t="shared" si="229"/>
        <v>0</v>
      </c>
      <c r="AW210" s="7"/>
      <c r="AX210" s="7"/>
      <c r="AY210" s="7">
        <f t="shared" si="230"/>
        <v>0</v>
      </c>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v>1341</v>
      </c>
      <c r="BY210" s="7">
        <f t="shared" si="205"/>
        <v>0</v>
      </c>
      <c r="BZ210" s="7">
        <f t="shared" si="206"/>
        <v>0</v>
      </c>
      <c r="CA210" s="7">
        <v>1341</v>
      </c>
      <c r="CB210" s="7">
        <f t="shared" si="207"/>
        <v>1700</v>
      </c>
      <c r="CC210" s="7">
        <f t="shared" si="208"/>
        <v>1700</v>
      </c>
      <c r="CD210" s="15">
        <f t="shared" si="209"/>
        <v>0</v>
      </c>
      <c r="CE210" s="15">
        <f t="shared" si="210"/>
        <v>0</v>
      </c>
      <c r="CF210" s="451" t="s">
        <v>887</v>
      </c>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14"/>
      <c r="DQ210" s="14"/>
      <c r="DR210" s="7"/>
      <c r="DS210" s="7"/>
      <c r="DT210" s="7"/>
      <c r="DU210" s="15"/>
      <c r="DV210" s="15"/>
      <c r="DW210" s="7"/>
      <c r="DX210" s="7"/>
      <c r="DY210" s="7"/>
      <c r="DZ210" s="27"/>
      <c r="EA210" s="319"/>
    </row>
    <row r="211" spans="1:131" s="10" customFormat="1" x14ac:dyDescent="0.25">
      <c r="A211" s="24" t="s">
        <v>83</v>
      </c>
      <c r="B211" s="24" t="s">
        <v>17</v>
      </c>
      <c r="C211" s="24" t="s">
        <v>242</v>
      </c>
      <c r="D211" s="10" t="s">
        <v>75</v>
      </c>
      <c r="E211" s="3">
        <v>760025</v>
      </c>
      <c r="F211" s="353">
        <v>4</v>
      </c>
      <c r="G211" s="353">
        <v>36</v>
      </c>
      <c r="H211" s="353">
        <v>1541</v>
      </c>
      <c r="I211" s="9" t="s">
        <v>31</v>
      </c>
      <c r="J211" s="10" t="s">
        <v>75</v>
      </c>
      <c r="K211" s="3"/>
      <c r="L211" s="3"/>
      <c r="M211" s="45"/>
      <c r="N211" s="3" t="s">
        <v>186</v>
      </c>
      <c r="O211" s="3" t="s">
        <v>192</v>
      </c>
      <c r="P211" s="3" t="s">
        <v>187</v>
      </c>
      <c r="Q211" s="3" t="s">
        <v>187</v>
      </c>
      <c r="R211" s="3">
        <v>170</v>
      </c>
      <c r="S211" s="3" t="s">
        <v>188</v>
      </c>
      <c r="T211" s="12" t="s">
        <v>49</v>
      </c>
      <c r="U211" s="12" t="s">
        <v>222</v>
      </c>
      <c r="V211" s="12"/>
      <c r="W211" s="12" t="s">
        <v>2</v>
      </c>
      <c r="X211" s="8"/>
      <c r="Y211" s="25" t="s">
        <v>69</v>
      </c>
      <c r="Z211" s="25"/>
      <c r="AA211" s="252" t="s">
        <v>286</v>
      </c>
      <c r="AB211" s="110" t="s">
        <v>37</v>
      </c>
      <c r="AC211" s="7"/>
      <c r="AD211" s="7"/>
      <c r="AE211" s="7">
        <v>4000000</v>
      </c>
      <c r="AF211" s="7"/>
      <c r="AG211" s="7">
        <f t="shared" si="243"/>
        <v>4000000</v>
      </c>
      <c r="AH211" s="7">
        <v>-3000000</v>
      </c>
      <c r="AI211" s="7">
        <f t="shared" si="244"/>
        <v>1000000</v>
      </c>
      <c r="AJ211" s="62"/>
      <c r="AK211" s="7">
        <v>7000000</v>
      </c>
      <c r="AL211" s="33"/>
      <c r="AM211" s="33">
        <f t="shared" si="214"/>
        <v>7000000</v>
      </c>
      <c r="AN211" s="33">
        <v>0</v>
      </c>
      <c r="AO211" s="7">
        <v>0</v>
      </c>
      <c r="AP211" s="7">
        <f t="shared" si="227"/>
        <v>0</v>
      </c>
      <c r="AQ211" s="7"/>
      <c r="AR211" s="7"/>
      <c r="AS211" s="7">
        <f t="shared" si="228"/>
        <v>0</v>
      </c>
      <c r="AT211" s="7"/>
      <c r="AU211" s="7"/>
      <c r="AV211" s="7">
        <f t="shared" si="229"/>
        <v>0</v>
      </c>
      <c r="AW211" s="7"/>
      <c r="AX211" s="7"/>
      <c r="AY211" s="7">
        <f t="shared" si="230"/>
        <v>0</v>
      </c>
      <c r="AZ211" s="7"/>
      <c r="BA211" s="7"/>
      <c r="BB211" s="7">
        <f t="shared" si="231"/>
        <v>0</v>
      </c>
      <c r="BC211" s="7"/>
      <c r="BD211" s="7"/>
      <c r="BE211" s="7">
        <f t="shared" si="232"/>
        <v>0</v>
      </c>
      <c r="BF211" s="7"/>
      <c r="BG211" s="7"/>
      <c r="BH211" s="7">
        <f t="shared" si="233"/>
        <v>0</v>
      </c>
      <c r="BI211" s="7"/>
      <c r="BJ211" s="7"/>
      <c r="BK211" s="7">
        <f t="shared" si="234"/>
        <v>0</v>
      </c>
      <c r="BL211" s="7"/>
      <c r="BM211" s="7"/>
      <c r="BN211" s="7">
        <f t="shared" si="235"/>
        <v>0</v>
      </c>
      <c r="BO211" s="7"/>
      <c r="BP211" s="7"/>
      <c r="BQ211" s="7">
        <f t="shared" si="236"/>
        <v>0</v>
      </c>
      <c r="BR211" s="7"/>
      <c r="BS211" s="7"/>
      <c r="BT211" s="7">
        <f t="shared" si="237"/>
        <v>0</v>
      </c>
      <c r="BU211" s="7"/>
      <c r="BV211" s="7"/>
      <c r="BW211" s="7">
        <f t="shared" si="238"/>
        <v>0</v>
      </c>
      <c r="BX211" s="7"/>
      <c r="BY211" s="7">
        <f t="shared" si="205"/>
        <v>0</v>
      </c>
      <c r="BZ211" s="7">
        <f t="shared" si="206"/>
        <v>0</v>
      </c>
      <c r="CA211" s="7">
        <v>0</v>
      </c>
      <c r="CB211" s="7">
        <f t="shared" si="207"/>
        <v>7000000</v>
      </c>
      <c r="CC211" s="7">
        <f t="shared" si="208"/>
        <v>7000000</v>
      </c>
      <c r="CD211" s="15">
        <f t="shared" si="209"/>
        <v>0</v>
      </c>
      <c r="CE211" s="15">
        <f t="shared" si="210"/>
        <v>0</v>
      </c>
      <c r="CF211" s="451" t="s">
        <v>846</v>
      </c>
      <c r="CG211" s="7">
        <v>0</v>
      </c>
      <c r="CH211" s="7">
        <v>0</v>
      </c>
      <c r="CI211" s="7"/>
      <c r="CJ211" s="7"/>
      <c r="CK211" s="7"/>
      <c r="CL211" s="7"/>
      <c r="CM211" s="7"/>
      <c r="CN211" s="7"/>
      <c r="CO211" s="7"/>
      <c r="CP211" s="7"/>
      <c r="CQ211" s="7"/>
      <c r="CR211" s="7"/>
      <c r="CS211" s="7"/>
      <c r="CT211" s="7"/>
      <c r="CU211" s="7"/>
      <c r="CV211" s="7"/>
      <c r="CW211" s="7"/>
      <c r="CX211" s="7"/>
      <c r="CY211" s="7"/>
      <c r="CZ211" s="7"/>
      <c r="DA211" s="7"/>
      <c r="DB211" s="7">
        <f t="shared" si="247"/>
        <v>0</v>
      </c>
      <c r="DC211" s="7"/>
      <c r="DD211" s="7"/>
      <c r="DE211" s="7"/>
      <c r="DF211" s="7"/>
      <c r="DG211" s="7"/>
      <c r="DH211" s="7"/>
      <c r="DI211" s="7"/>
      <c r="DJ211" s="7"/>
      <c r="DK211" s="7"/>
      <c r="DL211" s="7"/>
      <c r="DM211" s="7"/>
      <c r="DN211" s="7"/>
      <c r="DO211" s="7"/>
      <c r="DP211" s="14"/>
      <c r="DQ211" s="14">
        <f t="shared" si="249"/>
        <v>0</v>
      </c>
      <c r="DR211" s="7"/>
      <c r="DS211" s="7">
        <f t="shared" si="250"/>
        <v>4000000</v>
      </c>
      <c r="DT211" s="7">
        <f t="shared" si="251"/>
        <v>4000000</v>
      </c>
      <c r="DU211" s="15">
        <f t="shared" si="239"/>
        <v>0</v>
      </c>
      <c r="DV211" s="15">
        <f t="shared" si="240"/>
        <v>0</v>
      </c>
      <c r="DW211" s="7"/>
      <c r="DX211" s="7"/>
      <c r="DY211" s="7"/>
      <c r="DZ211" s="27"/>
      <c r="EA211" s="319"/>
    </row>
    <row r="212" spans="1:131" s="10" customFormat="1" ht="76.5" customHeight="1" x14ac:dyDescent="0.25">
      <c r="A212" s="24" t="s">
        <v>83</v>
      </c>
      <c r="B212" s="24" t="s">
        <v>17</v>
      </c>
      <c r="C212" s="24" t="s">
        <v>242</v>
      </c>
      <c r="D212" s="10" t="s">
        <v>75</v>
      </c>
      <c r="E212" s="3">
        <v>760025</v>
      </c>
      <c r="F212" s="353">
        <v>4</v>
      </c>
      <c r="G212" s="353">
        <v>36</v>
      </c>
      <c r="H212" s="353">
        <v>1542</v>
      </c>
      <c r="I212" s="9" t="s">
        <v>31</v>
      </c>
      <c r="J212" s="10" t="s">
        <v>75</v>
      </c>
      <c r="K212" s="3">
        <v>4</v>
      </c>
      <c r="L212" s="3">
        <v>36</v>
      </c>
      <c r="M212" s="45"/>
      <c r="N212" s="3" t="s">
        <v>186</v>
      </c>
      <c r="O212" s="3" t="s">
        <v>192</v>
      </c>
      <c r="P212" s="3" t="s">
        <v>187</v>
      </c>
      <c r="Q212" s="3" t="s">
        <v>187</v>
      </c>
      <c r="R212" s="3">
        <v>170</v>
      </c>
      <c r="S212" s="3" t="s">
        <v>188</v>
      </c>
      <c r="T212" s="12" t="s">
        <v>49</v>
      </c>
      <c r="U212" s="12" t="s">
        <v>222</v>
      </c>
      <c r="V212" s="12"/>
      <c r="W212" s="12" t="s">
        <v>2</v>
      </c>
      <c r="X212" s="8" t="s">
        <v>17</v>
      </c>
      <c r="Y212" s="25" t="s">
        <v>69</v>
      </c>
      <c r="Z212" s="25" t="s">
        <v>178</v>
      </c>
      <c r="AA212" s="252" t="s">
        <v>512</v>
      </c>
      <c r="AB212" s="110" t="s">
        <v>37</v>
      </c>
      <c r="AC212" s="7">
        <v>10000000</v>
      </c>
      <c r="AD212" s="7"/>
      <c r="AE212" s="7">
        <f>AC212+AD212</f>
        <v>10000000</v>
      </c>
      <c r="AF212" s="7">
        <v>-4000000</v>
      </c>
      <c r="AG212" s="7">
        <f t="shared" si="243"/>
        <v>6000000</v>
      </c>
      <c r="AH212" s="7">
        <v>-5000000</v>
      </c>
      <c r="AI212" s="7">
        <f t="shared" si="244"/>
        <v>1000000</v>
      </c>
      <c r="AJ212" s="62"/>
      <c r="AK212" s="7">
        <v>3000000</v>
      </c>
      <c r="AL212" s="33"/>
      <c r="AM212" s="33">
        <f t="shared" si="214"/>
        <v>3000000</v>
      </c>
      <c r="AN212" s="33">
        <v>0</v>
      </c>
      <c r="AO212" s="7">
        <v>0</v>
      </c>
      <c r="AP212" s="7">
        <f t="shared" si="227"/>
        <v>0</v>
      </c>
      <c r="AQ212" s="7">
        <v>47492.13</v>
      </c>
      <c r="AR212" s="7">
        <v>5262.9</v>
      </c>
      <c r="AS212" s="7">
        <f t="shared" si="228"/>
        <v>52755.03</v>
      </c>
      <c r="AT212" s="7">
        <v>121503.65</v>
      </c>
      <c r="AU212" s="7">
        <v>17010.509999999998</v>
      </c>
      <c r="AV212" s="7">
        <f t="shared" si="229"/>
        <v>138514.16</v>
      </c>
      <c r="AW212" s="7"/>
      <c r="AX212" s="7"/>
      <c r="AY212" s="7">
        <f t="shared" si="230"/>
        <v>0</v>
      </c>
      <c r="AZ212" s="7"/>
      <c r="BA212" s="7"/>
      <c r="BB212" s="7">
        <f t="shared" si="231"/>
        <v>0</v>
      </c>
      <c r="BC212" s="7"/>
      <c r="BD212" s="7"/>
      <c r="BE212" s="7">
        <f t="shared" si="232"/>
        <v>0</v>
      </c>
      <c r="BF212" s="7"/>
      <c r="BG212" s="7"/>
      <c r="BH212" s="7">
        <f t="shared" si="233"/>
        <v>0</v>
      </c>
      <c r="BI212" s="7"/>
      <c r="BJ212" s="7"/>
      <c r="BK212" s="7">
        <f t="shared" si="234"/>
        <v>0</v>
      </c>
      <c r="BL212" s="7"/>
      <c r="BM212" s="7"/>
      <c r="BN212" s="7">
        <f t="shared" si="235"/>
        <v>0</v>
      </c>
      <c r="BO212" s="7"/>
      <c r="BP212" s="7"/>
      <c r="BQ212" s="7">
        <f t="shared" si="236"/>
        <v>0</v>
      </c>
      <c r="BR212" s="7"/>
      <c r="BS212" s="7"/>
      <c r="BT212" s="7">
        <f t="shared" si="237"/>
        <v>0</v>
      </c>
      <c r="BU212" s="7"/>
      <c r="BV212" s="7"/>
      <c r="BW212" s="7">
        <f t="shared" si="238"/>
        <v>0</v>
      </c>
      <c r="BX212" s="7">
        <v>1921938.88</v>
      </c>
      <c r="BY212" s="7">
        <f t="shared" si="205"/>
        <v>168995.78</v>
      </c>
      <c r="BZ212" s="7">
        <f t="shared" si="206"/>
        <v>191269.19</v>
      </c>
      <c r="CA212" s="7">
        <v>1813396</v>
      </c>
      <c r="CB212" s="7">
        <f t="shared" si="207"/>
        <v>2831004.22</v>
      </c>
      <c r="CC212" s="7">
        <f t="shared" si="208"/>
        <v>2808730.81</v>
      </c>
      <c r="CD212" s="15">
        <f t="shared" si="209"/>
        <v>5.6331926666666664E-2</v>
      </c>
      <c r="CE212" s="15">
        <f t="shared" si="210"/>
        <v>6.3756396666666673E-2</v>
      </c>
      <c r="CF212" s="451" t="s">
        <v>883</v>
      </c>
      <c r="CG212" s="7">
        <v>9000000</v>
      </c>
      <c r="CH212" s="7">
        <v>9000000</v>
      </c>
      <c r="CI212" s="7"/>
      <c r="CJ212" s="7"/>
      <c r="CK212" s="7"/>
      <c r="CL212" s="7">
        <f>CK212</f>
        <v>0</v>
      </c>
      <c r="CM212" s="7">
        <v>123401.18</v>
      </c>
      <c r="CN212" s="7">
        <f>CM212+3229.82</f>
        <v>126631</v>
      </c>
      <c r="CO212" s="7">
        <v>485376.34</v>
      </c>
      <c r="CP212" s="7">
        <v>65891.88</v>
      </c>
      <c r="CQ212" s="7">
        <f t="shared" si="245"/>
        <v>551268.22</v>
      </c>
      <c r="CR212" s="7">
        <f>CK212+CM212+CO212</f>
        <v>608777.52</v>
      </c>
      <c r="CS212" s="7">
        <f>CL212+CN212+CQ212</f>
        <v>677899.22</v>
      </c>
      <c r="CT212" s="7">
        <v>295837.21000000002</v>
      </c>
      <c r="CU212" s="7">
        <v>8054.91</v>
      </c>
      <c r="CV212" s="7">
        <f>CT212+CU212</f>
        <v>303892.12</v>
      </c>
      <c r="CW212" s="7">
        <v>132480</v>
      </c>
      <c r="CX212" s="7"/>
      <c r="CY212" s="7">
        <f t="shared" si="246"/>
        <v>132480</v>
      </c>
      <c r="CZ212" s="7">
        <v>727758.62</v>
      </c>
      <c r="DA212" s="7">
        <v>16971.310000000001</v>
      </c>
      <c r="DB212" s="7">
        <f t="shared" si="247"/>
        <v>744729.93</v>
      </c>
      <c r="DC212" s="7"/>
      <c r="DD212" s="7">
        <f>DC212</f>
        <v>0</v>
      </c>
      <c r="DE212" s="7"/>
      <c r="DF212" s="7">
        <f>DE212</f>
        <v>0</v>
      </c>
      <c r="DG212" s="7"/>
      <c r="DH212" s="7">
        <f>DG212</f>
        <v>0</v>
      </c>
      <c r="DI212" s="7"/>
      <c r="DJ212" s="7">
        <f>DI212</f>
        <v>0</v>
      </c>
      <c r="DK212" s="7"/>
      <c r="DL212" s="7">
        <f>DK212</f>
        <v>0</v>
      </c>
      <c r="DM212" s="7"/>
      <c r="DN212" s="7">
        <f>DM212</f>
        <v>0</v>
      </c>
      <c r="DO212" s="7">
        <v>1574808.82</v>
      </c>
      <c r="DP212" s="14">
        <f t="shared" si="248"/>
        <v>1764853.35</v>
      </c>
      <c r="DQ212" s="14">
        <f t="shared" si="249"/>
        <v>1859001.27</v>
      </c>
      <c r="DR212" s="7"/>
      <c r="DS212" s="7">
        <f t="shared" si="250"/>
        <v>4235146.6500000004</v>
      </c>
      <c r="DT212" s="7">
        <f t="shared" si="251"/>
        <v>4140998.73</v>
      </c>
      <c r="DU212" s="15">
        <f t="shared" si="239"/>
        <v>0.29414222500000003</v>
      </c>
      <c r="DV212" s="15">
        <f t="shared" si="240"/>
        <v>0.30983354499999999</v>
      </c>
      <c r="DW212" s="7">
        <v>20000000</v>
      </c>
      <c r="DX212" s="7"/>
      <c r="DY212" s="7"/>
      <c r="DZ212" s="27"/>
      <c r="EA212" s="319"/>
    </row>
    <row r="213" spans="1:131" s="10" customFormat="1" x14ac:dyDescent="0.25">
      <c r="A213" s="24" t="s">
        <v>83</v>
      </c>
      <c r="B213" s="24"/>
      <c r="C213" s="24" t="s">
        <v>242</v>
      </c>
      <c r="E213" s="3">
        <v>760025</v>
      </c>
      <c r="F213" s="353">
        <v>6</v>
      </c>
      <c r="G213" s="359" t="s">
        <v>187</v>
      </c>
      <c r="H213" s="353">
        <v>1524</v>
      </c>
      <c r="I213" s="9" t="s">
        <v>31</v>
      </c>
      <c r="J213" s="10" t="s">
        <v>75</v>
      </c>
      <c r="K213" s="3"/>
      <c r="L213" s="3"/>
      <c r="M213" s="45"/>
      <c r="N213" s="3" t="s">
        <v>186</v>
      </c>
      <c r="O213" s="3" t="s">
        <v>192</v>
      </c>
      <c r="P213" s="3" t="s">
        <v>187</v>
      </c>
      <c r="Q213" s="3" t="s">
        <v>187</v>
      </c>
      <c r="R213" s="3">
        <v>170</v>
      </c>
      <c r="S213" s="11" t="s">
        <v>259</v>
      </c>
      <c r="T213" s="12" t="s">
        <v>49</v>
      </c>
      <c r="U213" s="12" t="s">
        <v>222</v>
      </c>
      <c r="V213" s="12"/>
      <c r="W213" s="12"/>
      <c r="X213" s="8"/>
      <c r="Y213" s="25"/>
      <c r="Z213" s="25"/>
      <c r="AA213" s="252" t="s">
        <v>724</v>
      </c>
      <c r="AB213" s="12" t="s">
        <v>697</v>
      </c>
      <c r="AC213" s="7"/>
      <c r="AD213" s="7"/>
      <c r="AE213" s="7"/>
      <c r="AF213" s="7"/>
      <c r="AG213" s="7"/>
      <c r="AH213" s="7"/>
      <c r="AI213" s="7"/>
      <c r="AJ213" s="62"/>
      <c r="AK213" s="7"/>
      <c r="AL213" s="33">
        <v>100000</v>
      </c>
      <c r="AM213" s="33">
        <f t="shared" si="214"/>
        <v>100000</v>
      </c>
      <c r="AN213" s="33"/>
      <c r="AO213" s="7"/>
      <c r="AP213" s="7">
        <f t="shared" si="227"/>
        <v>0</v>
      </c>
      <c r="AQ213" s="7"/>
      <c r="AR213" s="7"/>
      <c r="AS213" s="7">
        <f t="shared" si="228"/>
        <v>0</v>
      </c>
      <c r="AT213" s="7"/>
      <c r="AU213" s="7"/>
      <c r="AV213" s="7">
        <f t="shared" si="229"/>
        <v>0</v>
      </c>
      <c r="AW213" s="7"/>
      <c r="AX213" s="7"/>
      <c r="AY213" s="7">
        <f t="shared" si="230"/>
        <v>0</v>
      </c>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f t="shared" si="205"/>
        <v>0</v>
      </c>
      <c r="BZ213" s="7">
        <f t="shared" si="206"/>
        <v>0</v>
      </c>
      <c r="CA213" s="7">
        <v>0</v>
      </c>
      <c r="CB213" s="7">
        <f t="shared" si="207"/>
        <v>100000</v>
      </c>
      <c r="CC213" s="7">
        <f t="shared" si="208"/>
        <v>100000</v>
      </c>
      <c r="CD213" s="15">
        <f t="shared" si="209"/>
        <v>0</v>
      </c>
      <c r="CE213" s="15">
        <f t="shared" si="210"/>
        <v>0</v>
      </c>
      <c r="CF213" s="451" t="s">
        <v>888</v>
      </c>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14"/>
      <c r="DQ213" s="14"/>
      <c r="DR213" s="7"/>
      <c r="DS213" s="7"/>
      <c r="DT213" s="7"/>
      <c r="DU213" s="15"/>
      <c r="DV213" s="15"/>
      <c r="DW213" s="7"/>
      <c r="DX213" s="7"/>
      <c r="DY213" s="7"/>
      <c r="DZ213" s="27"/>
      <c r="EA213" s="319"/>
    </row>
    <row r="214" spans="1:131" s="10" customFormat="1" x14ac:dyDescent="0.25">
      <c r="A214" s="24" t="s">
        <v>83</v>
      </c>
      <c r="B214" s="24"/>
      <c r="C214" s="24" t="s">
        <v>242</v>
      </c>
      <c r="E214" s="3">
        <v>760025</v>
      </c>
      <c r="F214" s="353">
        <v>6</v>
      </c>
      <c r="G214" s="359" t="s">
        <v>187</v>
      </c>
      <c r="H214" s="353">
        <v>1525</v>
      </c>
      <c r="I214" s="9" t="s">
        <v>31</v>
      </c>
      <c r="J214" s="10" t="s">
        <v>75</v>
      </c>
      <c r="K214" s="3"/>
      <c r="L214" s="3"/>
      <c r="M214" s="45"/>
      <c r="N214" s="3" t="s">
        <v>186</v>
      </c>
      <c r="O214" s="3" t="s">
        <v>192</v>
      </c>
      <c r="P214" s="3" t="s">
        <v>187</v>
      </c>
      <c r="Q214" s="3" t="s">
        <v>187</v>
      </c>
      <c r="R214" s="3">
        <v>170</v>
      </c>
      <c r="S214" s="11" t="s">
        <v>259</v>
      </c>
      <c r="T214" s="12" t="s">
        <v>49</v>
      </c>
      <c r="U214" s="12" t="s">
        <v>222</v>
      </c>
      <c r="V214" s="12"/>
      <c r="W214" s="12"/>
      <c r="X214" s="8"/>
      <c r="Y214" s="25"/>
      <c r="Z214" s="25"/>
      <c r="AA214" s="252" t="s">
        <v>725</v>
      </c>
      <c r="AB214" s="12" t="s">
        <v>697</v>
      </c>
      <c r="AC214" s="7"/>
      <c r="AD214" s="7"/>
      <c r="AE214" s="7"/>
      <c r="AF214" s="7"/>
      <c r="AG214" s="7"/>
      <c r="AH214" s="7"/>
      <c r="AI214" s="7"/>
      <c r="AJ214" s="62"/>
      <c r="AK214" s="7"/>
      <c r="AL214" s="33">
        <v>1075698</v>
      </c>
      <c r="AM214" s="33">
        <f t="shared" si="214"/>
        <v>1075698</v>
      </c>
      <c r="AN214" s="33"/>
      <c r="AO214" s="7"/>
      <c r="AP214" s="7">
        <f t="shared" si="227"/>
        <v>0</v>
      </c>
      <c r="AQ214" s="7"/>
      <c r="AR214" s="7"/>
      <c r="AS214" s="7">
        <f t="shared" si="228"/>
        <v>0</v>
      </c>
      <c r="AT214" s="7"/>
      <c r="AU214" s="7"/>
      <c r="AV214" s="7">
        <f t="shared" si="229"/>
        <v>0</v>
      </c>
      <c r="AW214" s="7"/>
      <c r="AX214" s="7"/>
      <c r="AY214" s="7">
        <f t="shared" si="230"/>
        <v>0</v>
      </c>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f t="shared" si="205"/>
        <v>0</v>
      </c>
      <c r="BZ214" s="7">
        <f t="shared" si="206"/>
        <v>0</v>
      </c>
      <c r="CA214" s="7">
        <v>0</v>
      </c>
      <c r="CB214" s="7">
        <f t="shared" si="207"/>
        <v>1075698</v>
      </c>
      <c r="CC214" s="7">
        <f t="shared" si="208"/>
        <v>1075698</v>
      </c>
      <c r="CD214" s="15">
        <f t="shared" si="209"/>
        <v>0</v>
      </c>
      <c r="CE214" s="15">
        <f t="shared" si="210"/>
        <v>0</v>
      </c>
      <c r="CF214" s="451" t="s">
        <v>846</v>
      </c>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14"/>
      <c r="DQ214" s="14"/>
      <c r="DR214" s="7"/>
      <c r="DS214" s="7"/>
      <c r="DT214" s="7"/>
      <c r="DU214" s="15"/>
      <c r="DV214" s="15"/>
      <c r="DW214" s="7"/>
      <c r="DX214" s="7"/>
      <c r="DY214" s="7"/>
      <c r="DZ214" s="27"/>
      <c r="EA214" s="319"/>
    </row>
    <row r="215" spans="1:131" s="10" customFormat="1" x14ac:dyDescent="0.25">
      <c r="A215" s="24" t="s">
        <v>83</v>
      </c>
      <c r="B215" s="24"/>
      <c r="C215" s="24" t="s">
        <v>242</v>
      </c>
      <c r="E215" s="3">
        <v>760025</v>
      </c>
      <c r="F215" s="353">
        <v>6</v>
      </c>
      <c r="G215" s="359" t="s">
        <v>187</v>
      </c>
      <c r="H215" s="353">
        <v>1534</v>
      </c>
      <c r="I215" s="9" t="s">
        <v>31</v>
      </c>
      <c r="J215" s="10" t="s">
        <v>72</v>
      </c>
      <c r="K215" s="3"/>
      <c r="L215" s="3"/>
      <c r="M215" s="45"/>
      <c r="N215" s="3" t="s">
        <v>186</v>
      </c>
      <c r="O215" s="3" t="s">
        <v>192</v>
      </c>
      <c r="P215" s="3" t="s">
        <v>187</v>
      </c>
      <c r="Q215" s="3" t="s">
        <v>187</v>
      </c>
      <c r="R215" s="3">
        <v>271</v>
      </c>
      <c r="S215" s="11" t="s">
        <v>259</v>
      </c>
      <c r="T215" s="12" t="s">
        <v>260</v>
      </c>
      <c r="U215" s="12" t="s">
        <v>222</v>
      </c>
      <c r="V215" s="12"/>
      <c r="W215" s="12"/>
      <c r="X215" s="8"/>
      <c r="Y215" s="25"/>
      <c r="Z215" s="25"/>
      <c r="AA215" s="252" t="s">
        <v>863</v>
      </c>
      <c r="AB215" s="12" t="s">
        <v>697</v>
      </c>
      <c r="AC215" s="7"/>
      <c r="AD215" s="7"/>
      <c r="AE215" s="7"/>
      <c r="AF215" s="7"/>
      <c r="AG215" s="7"/>
      <c r="AH215" s="7"/>
      <c r="AI215" s="7"/>
      <c r="AJ215" s="62"/>
      <c r="AK215" s="7"/>
      <c r="AL215" s="33">
        <v>51000</v>
      </c>
      <c r="AM215" s="33">
        <f t="shared" si="214"/>
        <v>51000</v>
      </c>
      <c r="AN215" s="33"/>
      <c r="AO215" s="7"/>
      <c r="AP215" s="7">
        <f t="shared" si="227"/>
        <v>0</v>
      </c>
      <c r="AQ215" s="7"/>
      <c r="AR215" s="7"/>
      <c r="AS215" s="7">
        <f t="shared" si="228"/>
        <v>0</v>
      </c>
      <c r="AT215" s="7"/>
      <c r="AU215" s="7"/>
      <c r="AV215" s="7">
        <f t="shared" si="229"/>
        <v>0</v>
      </c>
      <c r="AW215" s="7"/>
      <c r="AX215" s="7"/>
      <c r="AY215" s="7">
        <f t="shared" si="230"/>
        <v>0</v>
      </c>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f t="shared" si="205"/>
        <v>0</v>
      </c>
      <c r="BZ215" s="7">
        <f t="shared" si="206"/>
        <v>0</v>
      </c>
      <c r="CA215" s="7">
        <v>0</v>
      </c>
      <c r="CB215" s="7">
        <f t="shared" si="207"/>
        <v>51000</v>
      </c>
      <c r="CC215" s="7">
        <f t="shared" si="208"/>
        <v>51000</v>
      </c>
      <c r="CD215" s="15">
        <f t="shared" si="209"/>
        <v>0</v>
      </c>
      <c r="CE215" s="15">
        <f t="shared" si="210"/>
        <v>0</v>
      </c>
      <c r="CF215" s="451" t="s">
        <v>685</v>
      </c>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14"/>
      <c r="DQ215" s="14"/>
      <c r="DR215" s="7"/>
      <c r="DS215" s="7"/>
      <c r="DT215" s="7"/>
      <c r="DU215" s="15"/>
      <c r="DV215" s="15"/>
      <c r="DW215" s="7"/>
      <c r="DX215" s="7"/>
      <c r="DY215" s="7"/>
      <c r="DZ215" s="27"/>
      <c r="EA215" s="319"/>
    </row>
    <row r="216" spans="1:131" s="10" customFormat="1" x14ac:dyDescent="0.25">
      <c r="A216" s="24" t="s">
        <v>83</v>
      </c>
      <c r="B216" s="24"/>
      <c r="C216" s="24" t="s">
        <v>242</v>
      </c>
      <c r="E216" s="3">
        <v>760025</v>
      </c>
      <c r="F216" s="353">
        <v>6</v>
      </c>
      <c r="G216" s="359" t="s">
        <v>187</v>
      </c>
      <c r="H216" s="353">
        <v>1535</v>
      </c>
      <c r="I216" s="9" t="s">
        <v>31</v>
      </c>
      <c r="J216" s="10" t="s">
        <v>72</v>
      </c>
      <c r="K216" s="3"/>
      <c r="L216" s="3"/>
      <c r="M216" s="45"/>
      <c r="N216" s="3" t="s">
        <v>186</v>
      </c>
      <c r="O216" s="3" t="s">
        <v>192</v>
      </c>
      <c r="P216" s="3" t="s">
        <v>187</v>
      </c>
      <c r="Q216" s="3" t="s">
        <v>187</v>
      </c>
      <c r="R216" s="3">
        <v>271</v>
      </c>
      <c r="S216" s="11" t="s">
        <v>259</v>
      </c>
      <c r="T216" s="12" t="s">
        <v>260</v>
      </c>
      <c r="U216" s="12" t="s">
        <v>222</v>
      </c>
      <c r="V216" s="12"/>
      <c r="W216" s="12"/>
      <c r="X216" s="8"/>
      <c r="Y216" s="25"/>
      <c r="Z216" s="25"/>
      <c r="AA216" s="252" t="s">
        <v>740</v>
      </c>
      <c r="AB216" s="12" t="s">
        <v>697</v>
      </c>
      <c r="AC216" s="7"/>
      <c r="AD216" s="7"/>
      <c r="AE216" s="7"/>
      <c r="AF216" s="7"/>
      <c r="AG216" s="7"/>
      <c r="AH216" s="7"/>
      <c r="AI216" s="7"/>
      <c r="AJ216" s="62"/>
      <c r="AK216" s="7"/>
      <c r="AL216" s="33">
        <v>12000</v>
      </c>
      <c r="AM216" s="33">
        <f t="shared" si="214"/>
        <v>12000</v>
      </c>
      <c r="AN216" s="33"/>
      <c r="AO216" s="7"/>
      <c r="AP216" s="7">
        <f t="shared" si="227"/>
        <v>0</v>
      </c>
      <c r="AQ216" s="7"/>
      <c r="AR216" s="7"/>
      <c r="AS216" s="7">
        <f t="shared" si="228"/>
        <v>0</v>
      </c>
      <c r="AT216" s="7"/>
      <c r="AU216" s="7"/>
      <c r="AV216" s="7">
        <f t="shared" si="229"/>
        <v>0</v>
      </c>
      <c r="AW216" s="7"/>
      <c r="AX216" s="7"/>
      <c r="AY216" s="7">
        <f t="shared" si="230"/>
        <v>0</v>
      </c>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f t="shared" si="205"/>
        <v>0</v>
      </c>
      <c r="BZ216" s="7">
        <f t="shared" si="206"/>
        <v>0</v>
      </c>
      <c r="CA216" s="7">
        <v>0</v>
      </c>
      <c r="CB216" s="7">
        <f t="shared" si="207"/>
        <v>12000</v>
      </c>
      <c r="CC216" s="7">
        <f t="shared" si="208"/>
        <v>12000</v>
      </c>
      <c r="CD216" s="15">
        <f t="shared" si="209"/>
        <v>0</v>
      </c>
      <c r="CE216" s="15">
        <f t="shared" si="210"/>
        <v>0</v>
      </c>
      <c r="CF216" s="451" t="s">
        <v>868</v>
      </c>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14"/>
      <c r="DQ216" s="14"/>
      <c r="DR216" s="7"/>
      <c r="DS216" s="7"/>
      <c r="DT216" s="7"/>
      <c r="DU216" s="15"/>
      <c r="DV216" s="15"/>
      <c r="DW216" s="7"/>
      <c r="DX216" s="7"/>
      <c r="DY216" s="7"/>
      <c r="DZ216" s="27"/>
      <c r="EA216" s="319"/>
    </row>
    <row r="217" spans="1:131" s="10" customFormat="1" x14ac:dyDescent="0.25">
      <c r="A217" s="24" t="s">
        <v>83</v>
      </c>
      <c r="B217" s="24"/>
      <c r="C217" s="24" t="s">
        <v>242</v>
      </c>
      <c r="E217" s="3">
        <v>760025</v>
      </c>
      <c r="F217" s="353">
        <v>4</v>
      </c>
      <c r="G217" s="359">
        <v>35</v>
      </c>
      <c r="H217" s="353">
        <v>1510</v>
      </c>
      <c r="I217" s="9" t="s">
        <v>31</v>
      </c>
      <c r="J217" s="10" t="s">
        <v>75</v>
      </c>
      <c r="K217" s="3"/>
      <c r="L217" s="3"/>
      <c r="M217" s="45"/>
      <c r="N217" s="3" t="s">
        <v>186</v>
      </c>
      <c r="O217" s="11" t="s">
        <v>189</v>
      </c>
      <c r="P217" s="3" t="s">
        <v>187</v>
      </c>
      <c r="Q217" s="3" t="s">
        <v>187</v>
      </c>
      <c r="R217" s="11" t="s">
        <v>193</v>
      </c>
      <c r="S217" s="11" t="s">
        <v>188</v>
      </c>
      <c r="T217" s="12" t="s">
        <v>110</v>
      </c>
      <c r="U217" s="12" t="s">
        <v>222</v>
      </c>
      <c r="V217" s="12"/>
      <c r="W217" s="12"/>
      <c r="X217" s="8"/>
      <c r="Y217" s="25"/>
      <c r="Z217" s="25"/>
      <c r="AA217" s="252" t="s">
        <v>173</v>
      </c>
      <c r="AB217" s="12" t="s">
        <v>496</v>
      </c>
      <c r="AC217" s="7"/>
      <c r="AD217" s="7"/>
      <c r="AE217" s="7"/>
      <c r="AF217" s="7"/>
      <c r="AG217" s="7"/>
      <c r="AH217" s="7"/>
      <c r="AI217" s="7"/>
      <c r="AJ217" s="62"/>
      <c r="AK217" s="7"/>
      <c r="AL217" s="33">
        <v>10068500</v>
      </c>
      <c r="AM217" s="33">
        <f t="shared" si="214"/>
        <v>10068500</v>
      </c>
      <c r="AN217" s="33"/>
      <c r="AO217" s="7"/>
      <c r="AP217" s="7">
        <f t="shared" si="227"/>
        <v>0</v>
      </c>
      <c r="AQ217" s="7"/>
      <c r="AR217" s="7"/>
      <c r="AS217" s="7">
        <f t="shared" si="228"/>
        <v>0</v>
      </c>
      <c r="AT217" s="7"/>
      <c r="AU217" s="7"/>
      <c r="AV217" s="7">
        <f t="shared" si="229"/>
        <v>0</v>
      </c>
      <c r="AW217" s="7"/>
      <c r="AX217" s="7"/>
      <c r="AY217" s="7">
        <f t="shared" si="230"/>
        <v>0</v>
      </c>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v>2245300</v>
      </c>
      <c r="BY217" s="7">
        <f t="shared" si="205"/>
        <v>0</v>
      </c>
      <c r="BZ217" s="7">
        <f t="shared" si="206"/>
        <v>0</v>
      </c>
      <c r="CA217" s="7">
        <v>2245300</v>
      </c>
      <c r="CB217" s="7">
        <f t="shared" si="207"/>
        <v>10068500</v>
      </c>
      <c r="CC217" s="7">
        <f t="shared" si="208"/>
        <v>10068500</v>
      </c>
      <c r="CD217" s="15">
        <f t="shared" si="209"/>
        <v>0</v>
      </c>
      <c r="CE217" s="15">
        <f t="shared" si="210"/>
        <v>0</v>
      </c>
      <c r="CF217" s="451" t="s">
        <v>889</v>
      </c>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14"/>
      <c r="DQ217" s="14"/>
      <c r="DR217" s="7"/>
      <c r="DS217" s="7"/>
      <c r="DT217" s="7"/>
      <c r="DU217" s="15"/>
      <c r="DV217" s="15"/>
      <c r="DW217" s="7"/>
      <c r="DX217" s="7"/>
      <c r="DY217" s="7"/>
      <c r="DZ217" s="27"/>
      <c r="EA217" s="319"/>
    </row>
    <row r="218" spans="1:131" s="10" customFormat="1" x14ac:dyDescent="0.25">
      <c r="A218" s="24" t="s">
        <v>83</v>
      </c>
      <c r="B218" s="12" t="s">
        <v>18</v>
      </c>
      <c r="C218" s="24" t="s">
        <v>243</v>
      </c>
      <c r="E218" s="3">
        <v>765010</v>
      </c>
      <c r="F218" s="353">
        <v>4</v>
      </c>
      <c r="G218" s="359" t="s">
        <v>187</v>
      </c>
      <c r="H218" s="353">
        <v>1545</v>
      </c>
      <c r="I218" s="9" t="s">
        <v>324</v>
      </c>
      <c r="J218" s="10" t="s">
        <v>75</v>
      </c>
      <c r="K218" s="3">
        <v>4</v>
      </c>
      <c r="L218" s="11" t="s">
        <v>187</v>
      </c>
      <c r="M218" s="45"/>
      <c r="N218" s="11" t="s">
        <v>186</v>
      </c>
      <c r="O218" s="11" t="s">
        <v>192</v>
      </c>
      <c r="P218" s="11" t="s">
        <v>187</v>
      </c>
      <c r="Q218" s="3" t="s">
        <v>187</v>
      </c>
      <c r="R218" s="3">
        <v>160</v>
      </c>
      <c r="S218" s="3" t="s">
        <v>188</v>
      </c>
      <c r="T218" s="12" t="s">
        <v>28</v>
      </c>
      <c r="U218" s="12"/>
      <c r="V218" s="12" t="s">
        <v>222</v>
      </c>
      <c r="W218" s="12"/>
      <c r="X218" s="8"/>
      <c r="Y218" s="25" t="s">
        <v>69</v>
      </c>
      <c r="Z218" s="25"/>
      <c r="AA218" s="10" t="s">
        <v>505</v>
      </c>
      <c r="AB218" s="12" t="s">
        <v>8</v>
      </c>
      <c r="AC218" s="7"/>
      <c r="AD218" s="7"/>
      <c r="AE218" s="7"/>
      <c r="AF218" s="7"/>
      <c r="AG218" s="7"/>
      <c r="AH218" s="7"/>
      <c r="AI218" s="7"/>
      <c r="AJ218" s="62"/>
      <c r="AK218" s="7">
        <v>1500000</v>
      </c>
      <c r="AL218" s="33"/>
      <c r="AM218" s="33">
        <f t="shared" si="214"/>
        <v>1500000</v>
      </c>
      <c r="AN218" s="33">
        <v>0</v>
      </c>
      <c r="AO218" s="7">
        <v>0</v>
      </c>
      <c r="AP218" s="7">
        <f t="shared" si="227"/>
        <v>0</v>
      </c>
      <c r="AQ218" s="7"/>
      <c r="AR218" s="7"/>
      <c r="AS218" s="7">
        <f t="shared" si="228"/>
        <v>0</v>
      </c>
      <c r="AT218" s="7"/>
      <c r="AU218" s="7"/>
      <c r="AV218" s="7">
        <f t="shared" si="229"/>
        <v>0</v>
      </c>
      <c r="AW218" s="7">
        <v>335950</v>
      </c>
      <c r="AX218" s="7"/>
      <c r="AY218" s="7">
        <f t="shared" si="230"/>
        <v>335950</v>
      </c>
      <c r="AZ218" s="7"/>
      <c r="BA218" s="7"/>
      <c r="BB218" s="7">
        <f>AZ218+BA218</f>
        <v>0</v>
      </c>
      <c r="BC218" s="7"/>
      <c r="BD218" s="7"/>
      <c r="BE218" s="7">
        <f>BC218+BD218</f>
        <v>0</v>
      </c>
      <c r="BF218" s="7"/>
      <c r="BG218" s="7"/>
      <c r="BH218" s="7">
        <f>BF218+BG218</f>
        <v>0</v>
      </c>
      <c r="BI218" s="7"/>
      <c r="BJ218" s="7"/>
      <c r="BK218" s="7">
        <f>BI218+BJ218</f>
        <v>0</v>
      </c>
      <c r="BL218" s="7"/>
      <c r="BM218" s="7"/>
      <c r="BN218" s="7">
        <f>BL218+BM218</f>
        <v>0</v>
      </c>
      <c r="BO218" s="7"/>
      <c r="BP218" s="7"/>
      <c r="BQ218" s="7">
        <f>BO218+BP218</f>
        <v>0</v>
      </c>
      <c r="BR218" s="7"/>
      <c r="BS218" s="7"/>
      <c r="BT218" s="7">
        <f>BR218+BS218</f>
        <v>0</v>
      </c>
      <c r="BU218" s="7"/>
      <c r="BV218" s="7"/>
      <c r="BW218" s="7">
        <f>BU218+BV218</f>
        <v>0</v>
      </c>
      <c r="BX218" s="7">
        <v>77000</v>
      </c>
      <c r="BY218" s="7">
        <f t="shared" si="205"/>
        <v>335950</v>
      </c>
      <c r="BZ218" s="7">
        <f t="shared" si="206"/>
        <v>335950</v>
      </c>
      <c r="CA218" s="7"/>
      <c r="CB218" s="7">
        <f t="shared" si="207"/>
        <v>1164050</v>
      </c>
      <c r="CC218" s="7">
        <f t="shared" si="208"/>
        <v>1164050</v>
      </c>
      <c r="CD218" s="15">
        <f t="shared" si="209"/>
        <v>0.22396666666666668</v>
      </c>
      <c r="CE218" s="15">
        <f t="shared" si="210"/>
        <v>0.22396666666666668</v>
      </c>
      <c r="CF218" s="12" t="s">
        <v>864</v>
      </c>
      <c r="CG218" s="7">
        <v>0</v>
      </c>
      <c r="CH218" s="7">
        <v>0</v>
      </c>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14"/>
      <c r="DQ218" s="14"/>
      <c r="DR218" s="7"/>
      <c r="DS218" s="7"/>
      <c r="DT218" s="7"/>
      <c r="DU218" s="15"/>
      <c r="DV218" s="15"/>
      <c r="DW218" s="15"/>
      <c r="DX218" s="15"/>
      <c r="DY218" s="7"/>
      <c r="DZ218" s="27"/>
      <c r="EA218" s="319"/>
    </row>
    <row r="219" spans="1:131" s="10" customFormat="1" x14ac:dyDescent="0.25">
      <c r="A219" s="24" t="s">
        <v>83</v>
      </c>
      <c r="B219" s="12" t="s">
        <v>18</v>
      </c>
      <c r="C219" s="24" t="s">
        <v>243</v>
      </c>
      <c r="E219" s="3">
        <v>765010</v>
      </c>
      <c r="F219" s="353">
        <v>4</v>
      </c>
      <c r="G219" s="359" t="s">
        <v>187</v>
      </c>
      <c r="H219" s="353">
        <v>1546</v>
      </c>
      <c r="I219" s="9" t="s">
        <v>324</v>
      </c>
      <c r="J219" s="10" t="s">
        <v>75</v>
      </c>
      <c r="K219" s="3">
        <v>4</v>
      </c>
      <c r="L219" s="11" t="s">
        <v>187</v>
      </c>
      <c r="M219" s="45"/>
      <c r="N219" s="11" t="s">
        <v>186</v>
      </c>
      <c r="O219" s="11" t="s">
        <v>192</v>
      </c>
      <c r="P219" s="3" t="s">
        <v>187</v>
      </c>
      <c r="Q219" s="3" t="s">
        <v>187</v>
      </c>
      <c r="R219" s="3">
        <v>160</v>
      </c>
      <c r="S219" s="3" t="s">
        <v>188</v>
      </c>
      <c r="T219" s="12" t="s">
        <v>28</v>
      </c>
      <c r="U219" s="12"/>
      <c r="V219" s="12" t="s">
        <v>222</v>
      </c>
      <c r="W219" s="12" t="s">
        <v>2</v>
      </c>
      <c r="X219" s="8" t="s">
        <v>18</v>
      </c>
      <c r="Y219" s="25" t="s">
        <v>69</v>
      </c>
      <c r="Z219" s="25" t="s">
        <v>179</v>
      </c>
      <c r="AA219" s="10" t="s">
        <v>561</v>
      </c>
      <c r="AB219" s="12" t="s">
        <v>8</v>
      </c>
      <c r="AC219" s="7"/>
      <c r="AD219" s="7"/>
      <c r="AE219" s="7"/>
      <c r="AF219" s="7"/>
      <c r="AG219" s="7"/>
      <c r="AH219" s="7"/>
      <c r="AI219" s="7"/>
      <c r="AJ219" s="62"/>
      <c r="AK219" s="7">
        <v>41907</v>
      </c>
      <c r="AL219" s="33"/>
      <c r="AM219" s="33">
        <f t="shared" si="214"/>
        <v>41907</v>
      </c>
      <c r="AN219" s="33">
        <v>0</v>
      </c>
      <c r="AO219" s="7">
        <v>0</v>
      </c>
      <c r="AP219" s="7">
        <f>AN219+AO219</f>
        <v>0</v>
      </c>
      <c r="AQ219" s="7"/>
      <c r="AR219" s="7"/>
      <c r="AS219" s="7">
        <f t="shared" si="228"/>
        <v>0</v>
      </c>
      <c r="AT219" s="7"/>
      <c r="AU219" s="7"/>
      <c r="AV219" s="7">
        <f t="shared" si="229"/>
        <v>0</v>
      </c>
      <c r="AW219" s="7">
        <v>28997.54</v>
      </c>
      <c r="AX219" s="7"/>
      <c r="AY219" s="7">
        <f t="shared" si="230"/>
        <v>28997.54</v>
      </c>
      <c r="AZ219" s="7"/>
      <c r="BA219" s="7"/>
      <c r="BB219" s="7">
        <f>AZ219+BA219</f>
        <v>0</v>
      </c>
      <c r="BC219" s="7"/>
      <c r="BD219" s="7"/>
      <c r="BE219" s="7">
        <f>BC219+BD219</f>
        <v>0</v>
      </c>
      <c r="BF219" s="7"/>
      <c r="BG219" s="7"/>
      <c r="BH219" s="7">
        <f>BF219+BG219</f>
        <v>0</v>
      </c>
      <c r="BI219" s="7"/>
      <c r="BJ219" s="7"/>
      <c r="BK219" s="7">
        <f>BI219+BJ219</f>
        <v>0</v>
      </c>
      <c r="BL219" s="7"/>
      <c r="BM219" s="7"/>
      <c r="BN219" s="7">
        <f>BL219+BM219</f>
        <v>0</v>
      </c>
      <c r="BO219" s="7"/>
      <c r="BP219" s="7"/>
      <c r="BQ219" s="7">
        <f>BO219+BP219</f>
        <v>0</v>
      </c>
      <c r="BR219" s="7"/>
      <c r="BS219" s="7"/>
      <c r="BT219" s="7">
        <f>BR219+BS219</f>
        <v>0</v>
      </c>
      <c r="BU219" s="7"/>
      <c r="BV219" s="7"/>
      <c r="BW219" s="7">
        <f>BU219+BV219</f>
        <v>0</v>
      </c>
      <c r="BX219" s="7"/>
      <c r="BY219" s="7">
        <f t="shared" si="205"/>
        <v>28997.54</v>
      </c>
      <c r="BZ219" s="7">
        <f t="shared" si="206"/>
        <v>28997.54</v>
      </c>
      <c r="CA219" s="7"/>
      <c r="CB219" s="7">
        <f t="shared" si="207"/>
        <v>12909.46</v>
      </c>
      <c r="CC219" s="7">
        <f t="shared" si="208"/>
        <v>12909.46</v>
      </c>
      <c r="CD219" s="15">
        <f t="shared" si="209"/>
        <v>0.69194979359056963</v>
      </c>
      <c r="CE219" s="15">
        <f t="shared" si="210"/>
        <v>0.69194979359056963</v>
      </c>
      <c r="CF219" s="12" t="s">
        <v>890</v>
      </c>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14"/>
      <c r="DQ219" s="14"/>
      <c r="DR219" s="7"/>
      <c r="DS219" s="7"/>
      <c r="DT219" s="7"/>
      <c r="DU219" s="15"/>
      <c r="DV219" s="15"/>
      <c r="DW219" s="15"/>
      <c r="DX219" s="15"/>
      <c r="DY219" s="7"/>
      <c r="DZ219" s="27"/>
      <c r="EA219" s="319"/>
    </row>
    <row r="220" spans="1:131" s="10" customFormat="1" ht="30.75" x14ac:dyDescent="0.25">
      <c r="A220" s="24" t="s">
        <v>83</v>
      </c>
      <c r="B220" s="12" t="s">
        <v>18</v>
      </c>
      <c r="C220" s="24" t="s">
        <v>243</v>
      </c>
      <c r="D220" s="10" t="s">
        <v>75</v>
      </c>
      <c r="E220" s="3">
        <v>765010</v>
      </c>
      <c r="F220" s="353">
        <v>4</v>
      </c>
      <c r="G220" s="353">
        <v>36</v>
      </c>
      <c r="H220" s="353">
        <v>1543</v>
      </c>
      <c r="I220" s="9" t="s">
        <v>324</v>
      </c>
      <c r="J220" s="10" t="s">
        <v>75</v>
      </c>
      <c r="K220" s="3">
        <v>4</v>
      </c>
      <c r="L220" s="3">
        <v>36</v>
      </c>
      <c r="M220" s="45"/>
      <c r="N220" s="3" t="s">
        <v>186</v>
      </c>
      <c r="O220" s="3" t="s">
        <v>192</v>
      </c>
      <c r="P220" s="3" t="s">
        <v>187</v>
      </c>
      <c r="Q220" s="3" t="s">
        <v>187</v>
      </c>
      <c r="R220" s="3">
        <v>160</v>
      </c>
      <c r="S220" s="3" t="s">
        <v>188</v>
      </c>
      <c r="T220" s="12" t="s">
        <v>28</v>
      </c>
      <c r="U220" s="12"/>
      <c r="V220" s="12" t="s">
        <v>222</v>
      </c>
      <c r="W220" s="12" t="s">
        <v>2</v>
      </c>
      <c r="X220" s="8" t="s">
        <v>15</v>
      </c>
      <c r="Y220" s="25" t="s">
        <v>69</v>
      </c>
      <c r="Z220" s="25" t="s">
        <v>144</v>
      </c>
      <c r="AA220" s="252" t="s">
        <v>123</v>
      </c>
      <c r="AB220" s="110" t="s">
        <v>37</v>
      </c>
      <c r="AC220" s="7">
        <v>5000000</v>
      </c>
      <c r="AD220" s="7"/>
      <c r="AE220" s="7">
        <f>AC220+AD220</f>
        <v>5000000</v>
      </c>
      <c r="AF220" s="7">
        <v>-5000000</v>
      </c>
      <c r="AG220" s="7">
        <f t="shared" si="243"/>
        <v>0</v>
      </c>
      <c r="AH220" s="7"/>
      <c r="AI220" s="7">
        <f t="shared" si="244"/>
        <v>0</v>
      </c>
      <c r="AJ220" s="62"/>
      <c r="AK220" s="7">
        <v>15000000</v>
      </c>
      <c r="AL220" s="33">
        <v>-5000000</v>
      </c>
      <c r="AM220" s="33">
        <f t="shared" si="214"/>
        <v>10000000</v>
      </c>
      <c r="AN220" s="33">
        <v>0</v>
      </c>
      <c r="AO220" s="7">
        <v>0</v>
      </c>
      <c r="AP220" s="7">
        <f t="shared" si="227"/>
        <v>0</v>
      </c>
      <c r="AQ220" s="7"/>
      <c r="AR220" s="7"/>
      <c r="AS220" s="7">
        <f t="shared" si="228"/>
        <v>0</v>
      </c>
      <c r="AT220" s="7">
        <v>2024.82</v>
      </c>
      <c r="AU220" s="7">
        <v>283.48</v>
      </c>
      <c r="AV220" s="7">
        <f t="shared" si="229"/>
        <v>2308.3000000000002</v>
      </c>
      <c r="AW220" s="7">
        <v>2540.2399999999998</v>
      </c>
      <c r="AX220" s="7"/>
      <c r="AY220" s="7">
        <f t="shared" si="230"/>
        <v>2540.2399999999998</v>
      </c>
      <c r="AZ220" s="7"/>
      <c r="BA220" s="7"/>
      <c r="BB220" s="7">
        <f t="shared" si="231"/>
        <v>0</v>
      </c>
      <c r="BC220" s="7"/>
      <c r="BD220" s="7"/>
      <c r="BE220" s="7">
        <f t="shared" si="232"/>
        <v>0</v>
      </c>
      <c r="BF220" s="7"/>
      <c r="BG220" s="7"/>
      <c r="BH220" s="7">
        <f t="shared" si="233"/>
        <v>0</v>
      </c>
      <c r="BI220" s="7"/>
      <c r="BJ220" s="7"/>
      <c r="BK220" s="7">
        <f t="shared" si="234"/>
        <v>0</v>
      </c>
      <c r="BL220" s="7"/>
      <c r="BM220" s="7"/>
      <c r="BN220" s="7">
        <f t="shared" si="235"/>
        <v>0</v>
      </c>
      <c r="BO220" s="7"/>
      <c r="BP220" s="7"/>
      <c r="BQ220" s="7">
        <f t="shared" si="236"/>
        <v>0</v>
      </c>
      <c r="BR220" s="7"/>
      <c r="BS220" s="7"/>
      <c r="BT220" s="7">
        <f t="shared" si="237"/>
        <v>0</v>
      </c>
      <c r="BU220" s="7"/>
      <c r="BV220" s="7"/>
      <c r="BW220" s="7">
        <f t="shared" si="238"/>
        <v>0</v>
      </c>
      <c r="BX220" s="7"/>
      <c r="BY220" s="7">
        <f t="shared" si="205"/>
        <v>4565.0599999999995</v>
      </c>
      <c r="BZ220" s="7">
        <f t="shared" si="206"/>
        <v>4848.54</v>
      </c>
      <c r="CA220" s="7"/>
      <c r="CB220" s="7">
        <f t="shared" si="207"/>
        <v>9995434.9399999995</v>
      </c>
      <c r="CC220" s="7">
        <f t="shared" si="208"/>
        <v>9995151.4600000009</v>
      </c>
      <c r="CD220" s="15">
        <f t="shared" si="209"/>
        <v>4.5650599999999997E-4</v>
      </c>
      <c r="CE220" s="15">
        <f t="shared" si="210"/>
        <v>4.84854E-4</v>
      </c>
      <c r="CF220" s="12" t="s">
        <v>891</v>
      </c>
      <c r="CG220" s="7">
        <v>5000000</v>
      </c>
      <c r="CH220" s="7">
        <v>5000000</v>
      </c>
      <c r="CI220" s="7"/>
      <c r="CJ220" s="7"/>
      <c r="CK220" s="7"/>
      <c r="CL220" s="7">
        <f>CK220</f>
        <v>0</v>
      </c>
      <c r="CM220" s="7"/>
      <c r="CN220" s="7">
        <f>CM220</f>
        <v>0</v>
      </c>
      <c r="CO220" s="7"/>
      <c r="CP220" s="7"/>
      <c r="CQ220" s="7">
        <f t="shared" si="245"/>
        <v>0</v>
      </c>
      <c r="CR220" s="7">
        <f>CK220+CM220+CO220</f>
        <v>0</v>
      </c>
      <c r="CS220" s="7">
        <f>CL220+CN220+CQ220</f>
        <v>0</v>
      </c>
      <c r="CT220" s="7"/>
      <c r="CU220" s="7"/>
      <c r="CV220" s="7">
        <f>CT220+CU220</f>
        <v>0</v>
      </c>
      <c r="CW220" s="7"/>
      <c r="CX220" s="7"/>
      <c r="CY220" s="7">
        <f t="shared" si="246"/>
        <v>0</v>
      </c>
      <c r="CZ220" s="7"/>
      <c r="DA220" s="7"/>
      <c r="DB220" s="7">
        <f t="shared" si="247"/>
        <v>0</v>
      </c>
      <c r="DC220" s="7"/>
      <c r="DD220" s="7">
        <f>DC220</f>
        <v>0</v>
      </c>
      <c r="DE220" s="7"/>
      <c r="DF220" s="7">
        <f>DE220</f>
        <v>0</v>
      </c>
      <c r="DG220" s="7"/>
      <c r="DH220" s="7">
        <f>DG220</f>
        <v>0</v>
      </c>
      <c r="DI220" s="7"/>
      <c r="DJ220" s="7">
        <f>DI220</f>
        <v>0</v>
      </c>
      <c r="DK220" s="7"/>
      <c r="DL220" s="7">
        <f>DK220</f>
        <v>0</v>
      </c>
      <c r="DM220" s="7"/>
      <c r="DN220" s="7">
        <f>DM220</f>
        <v>0</v>
      </c>
      <c r="DO220" s="7">
        <v>0</v>
      </c>
      <c r="DP220" s="14">
        <f t="shared" si="248"/>
        <v>0</v>
      </c>
      <c r="DQ220" s="14">
        <f t="shared" si="249"/>
        <v>0</v>
      </c>
      <c r="DR220" s="7"/>
      <c r="DS220" s="7">
        <f t="shared" si="250"/>
        <v>0</v>
      </c>
      <c r="DT220" s="7">
        <f t="shared" si="251"/>
        <v>0</v>
      </c>
      <c r="DU220" s="15" t="e">
        <f t="shared" si="239"/>
        <v>#DIV/0!</v>
      </c>
      <c r="DV220" s="15" t="e">
        <f t="shared" si="240"/>
        <v>#DIV/0!</v>
      </c>
      <c r="DW220" s="7"/>
      <c r="DX220" s="7"/>
      <c r="DY220" s="7">
        <f>5000000+5000000</f>
        <v>10000000</v>
      </c>
      <c r="DZ220" s="27"/>
      <c r="EA220" s="319"/>
    </row>
    <row r="221" spans="1:131" s="10" customFormat="1" x14ac:dyDescent="0.25">
      <c r="A221" s="24" t="s">
        <v>83</v>
      </c>
      <c r="B221" s="12" t="s">
        <v>18</v>
      </c>
      <c r="C221" s="24" t="s">
        <v>243</v>
      </c>
      <c r="D221" s="10" t="s">
        <v>75</v>
      </c>
      <c r="E221" s="3">
        <v>765010</v>
      </c>
      <c r="F221" s="353">
        <v>4</v>
      </c>
      <c r="G221" s="353">
        <v>36</v>
      </c>
      <c r="H221" s="353">
        <v>1544</v>
      </c>
      <c r="I221" s="9" t="s">
        <v>324</v>
      </c>
      <c r="J221" s="10" t="s">
        <v>75</v>
      </c>
      <c r="K221" s="3">
        <v>4</v>
      </c>
      <c r="L221" s="3">
        <v>36</v>
      </c>
      <c r="M221" s="45"/>
      <c r="N221" s="3" t="s">
        <v>186</v>
      </c>
      <c r="O221" s="3" t="s">
        <v>192</v>
      </c>
      <c r="P221" s="3" t="s">
        <v>187</v>
      </c>
      <c r="Q221" s="3" t="s">
        <v>187</v>
      </c>
      <c r="R221" s="3">
        <v>160</v>
      </c>
      <c r="S221" s="3" t="s">
        <v>188</v>
      </c>
      <c r="T221" s="12" t="s">
        <v>28</v>
      </c>
      <c r="U221" s="12"/>
      <c r="V221" s="12" t="s">
        <v>222</v>
      </c>
      <c r="W221" s="12" t="s">
        <v>2</v>
      </c>
      <c r="X221" s="8" t="s">
        <v>18</v>
      </c>
      <c r="Y221" s="25" t="s">
        <v>69</v>
      </c>
      <c r="Z221" s="25" t="s">
        <v>179</v>
      </c>
      <c r="AA221" s="10" t="s">
        <v>248</v>
      </c>
      <c r="AB221" s="110" t="s">
        <v>37</v>
      </c>
      <c r="AC221" s="7">
        <v>4000000</v>
      </c>
      <c r="AD221" s="7"/>
      <c r="AE221" s="7">
        <f>AC221+AD221</f>
        <v>4000000</v>
      </c>
      <c r="AF221" s="7">
        <v>1800000</v>
      </c>
      <c r="AG221" s="7">
        <f t="shared" si="243"/>
        <v>5800000</v>
      </c>
      <c r="AH221" s="7">
        <v>-5384413</v>
      </c>
      <c r="AI221" s="7">
        <f t="shared" si="244"/>
        <v>415587</v>
      </c>
      <c r="AJ221" s="62"/>
      <c r="AK221" s="7">
        <v>2250000</v>
      </c>
      <c r="AL221" s="33"/>
      <c r="AM221" s="33">
        <f t="shared" si="214"/>
        <v>2250000</v>
      </c>
      <c r="AN221" s="33">
        <v>0</v>
      </c>
      <c r="AO221" s="7">
        <v>0</v>
      </c>
      <c r="AP221" s="7">
        <f t="shared" si="227"/>
        <v>0</v>
      </c>
      <c r="AQ221" s="7"/>
      <c r="AR221" s="7"/>
      <c r="AS221" s="7">
        <f t="shared" si="228"/>
        <v>0</v>
      </c>
      <c r="AT221" s="7"/>
      <c r="AU221" s="7"/>
      <c r="AV221" s="7">
        <f t="shared" si="229"/>
        <v>0</v>
      </c>
      <c r="AW221" s="7"/>
      <c r="AX221" s="7"/>
      <c r="AY221" s="7">
        <f t="shared" si="230"/>
        <v>0</v>
      </c>
      <c r="AZ221" s="7"/>
      <c r="BA221" s="7"/>
      <c r="BB221" s="7">
        <f t="shared" si="231"/>
        <v>0</v>
      </c>
      <c r="BC221" s="7"/>
      <c r="BD221" s="7"/>
      <c r="BE221" s="7">
        <f t="shared" si="232"/>
        <v>0</v>
      </c>
      <c r="BF221" s="7"/>
      <c r="BG221" s="7"/>
      <c r="BH221" s="7">
        <f t="shared" si="233"/>
        <v>0</v>
      </c>
      <c r="BI221" s="7"/>
      <c r="BJ221" s="7"/>
      <c r="BK221" s="7">
        <f t="shared" si="234"/>
        <v>0</v>
      </c>
      <c r="BL221" s="7"/>
      <c r="BM221" s="7"/>
      <c r="BN221" s="7">
        <f t="shared" si="235"/>
        <v>0</v>
      </c>
      <c r="BO221" s="7"/>
      <c r="BP221" s="7"/>
      <c r="BQ221" s="7">
        <f t="shared" si="236"/>
        <v>0</v>
      </c>
      <c r="BR221" s="7"/>
      <c r="BS221" s="7"/>
      <c r="BT221" s="7">
        <f t="shared" si="237"/>
        <v>0</v>
      </c>
      <c r="BU221" s="7"/>
      <c r="BV221" s="7"/>
      <c r="BW221" s="7">
        <f t="shared" si="238"/>
        <v>0</v>
      </c>
      <c r="BX221" s="7"/>
      <c r="BY221" s="7">
        <f t="shared" si="205"/>
        <v>0</v>
      </c>
      <c r="BZ221" s="7">
        <f t="shared" si="206"/>
        <v>0</v>
      </c>
      <c r="CA221" s="7"/>
      <c r="CB221" s="7">
        <f t="shared" si="207"/>
        <v>2250000</v>
      </c>
      <c r="CC221" s="7">
        <f t="shared" si="208"/>
        <v>2250000</v>
      </c>
      <c r="CD221" s="15">
        <f t="shared" si="209"/>
        <v>0</v>
      </c>
      <c r="CE221" s="15">
        <f t="shared" si="210"/>
        <v>0</v>
      </c>
      <c r="CF221" s="12" t="s">
        <v>685</v>
      </c>
      <c r="CG221" s="7">
        <v>4750000</v>
      </c>
      <c r="CH221" s="7">
        <v>4750000</v>
      </c>
      <c r="CI221" s="7"/>
      <c r="CJ221" s="7"/>
      <c r="CK221" s="7"/>
      <c r="CL221" s="7">
        <f>CK221</f>
        <v>0</v>
      </c>
      <c r="CM221" s="7"/>
      <c r="CN221" s="7">
        <f>CM221</f>
        <v>0</v>
      </c>
      <c r="CO221" s="7"/>
      <c r="CP221" s="7">
        <v>0</v>
      </c>
      <c r="CQ221" s="7">
        <f t="shared" si="245"/>
        <v>0</v>
      </c>
      <c r="CR221" s="7">
        <f>CK221+CM221+CO221</f>
        <v>0</v>
      </c>
      <c r="CS221" s="7">
        <f>CL221+CN221+CQ221</f>
        <v>0</v>
      </c>
      <c r="CT221" s="7"/>
      <c r="CU221" s="7"/>
      <c r="CV221" s="7">
        <f>CT221+CU221</f>
        <v>0</v>
      </c>
      <c r="CW221" s="7">
        <v>2111.29</v>
      </c>
      <c r="CX221" s="7">
        <v>295.58</v>
      </c>
      <c r="CY221" s="7">
        <f t="shared" si="246"/>
        <v>2406.87</v>
      </c>
      <c r="CZ221" s="7"/>
      <c r="DA221" s="7"/>
      <c r="DB221" s="7">
        <f t="shared" si="247"/>
        <v>0</v>
      </c>
      <c r="DC221" s="7"/>
      <c r="DD221" s="7">
        <f>DC221</f>
        <v>0</v>
      </c>
      <c r="DE221" s="7"/>
      <c r="DF221" s="7">
        <f>DE221</f>
        <v>0</v>
      </c>
      <c r="DG221" s="7"/>
      <c r="DH221" s="7">
        <f>DG221</f>
        <v>0</v>
      </c>
      <c r="DI221" s="7"/>
      <c r="DJ221" s="7">
        <f>DI221</f>
        <v>0</v>
      </c>
      <c r="DK221" s="7"/>
      <c r="DL221" s="7">
        <f>DK221</f>
        <v>0</v>
      </c>
      <c r="DM221" s="7"/>
      <c r="DN221" s="7">
        <f>DM221</f>
        <v>0</v>
      </c>
      <c r="DO221" s="7"/>
      <c r="DP221" s="14">
        <f t="shared" si="248"/>
        <v>2111.29</v>
      </c>
      <c r="DQ221" s="14">
        <f t="shared" si="249"/>
        <v>2406.87</v>
      </c>
      <c r="DR221" s="7"/>
      <c r="DS221" s="7">
        <f t="shared" si="250"/>
        <v>5797888.71</v>
      </c>
      <c r="DT221" s="7">
        <f t="shared" si="251"/>
        <v>5797593.1299999999</v>
      </c>
      <c r="DU221" s="15">
        <f t="shared" si="239"/>
        <v>3.6401551724137932E-4</v>
      </c>
      <c r="DV221" s="15">
        <f t="shared" si="240"/>
        <v>4.1497758620689652E-4</v>
      </c>
      <c r="DW221" s="7"/>
      <c r="DX221" s="7"/>
      <c r="DY221" s="7"/>
      <c r="DZ221" s="27"/>
      <c r="EA221" s="319"/>
    </row>
    <row r="222" spans="1:131" s="10" customFormat="1" ht="60.75" x14ac:dyDescent="0.25">
      <c r="A222" s="24" t="s">
        <v>83</v>
      </c>
      <c r="B222" s="12" t="s">
        <v>18</v>
      </c>
      <c r="C222" s="24" t="s">
        <v>243</v>
      </c>
      <c r="D222" s="10" t="s">
        <v>75</v>
      </c>
      <c r="E222" s="3">
        <v>765010</v>
      </c>
      <c r="F222" s="353">
        <v>4</v>
      </c>
      <c r="G222" s="353">
        <v>36</v>
      </c>
      <c r="H222" s="353">
        <v>1545</v>
      </c>
      <c r="I222" s="9" t="s">
        <v>324</v>
      </c>
      <c r="J222" s="10" t="s">
        <v>75</v>
      </c>
      <c r="K222" s="3">
        <v>4</v>
      </c>
      <c r="L222" s="3">
        <v>36</v>
      </c>
      <c r="M222" s="45"/>
      <c r="N222" s="3" t="s">
        <v>186</v>
      </c>
      <c r="O222" s="3" t="s">
        <v>192</v>
      </c>
      <c r="P222" s="3" t="s">
        <v>187</v>
      </c>
      <c r="Q222" s="3" t="s">
        <v>187</v>
      </c>
      <c r="R222" s="3">
        <v>160</v>
      </c>
      <c r="S222" s="3" t="s">
        <v>188</v>
      </c>
      <c r="T222" s="12" t="s">
        <v>28</v>
      </c>
      <c r="U222" s="12"/>
      <c r="V222" s="12" t="s">
        <v>222</v>
      </c>
      <c r="W222" s="12" t="s">
        <v>2</v>
      </c>
      <c r="X222" s="8" t="s">
        <v>18</v>
      </c>
      <c r="Y222" s="25" t="s">
        <v>69</v>
      </c>
      <c r="Z222" s="25" t="s">
        <v>179</v>
      </c>
      <c r="AA222" s="10" t="s">
        <v>249</v>
      </c>
      <c r="AB222" s="110" t="s">
        <v>37</v>
      </c>
      <c r="AC222" s="7">
        <v>5000000</v>
      </c>
      <c r="AD222" s="7"/>
      <c r="AE222" s="7">
        <f>AC222+AD222</f>
        <v>5000000</v>
      </c>
      <c r="AF222" s="7">
        <v>-1000000</v>
      </c>
      <c r="AG222" s="7">
        <f t="shared" si="243"/>
        <v>4000000</v>
      </c>
      <c r="AH222" s="7">
        <v>-2500000</v>
      </c>
      <c r="AI222" s="7">
        <f t="shared" si="244"/>
        <v>1500000</v>
      </c>
      <c r="AJ222" s="62"/>
      <c r="AK222" s="7">
        <v>3000000</v>
      </c>
      <c r="AL222" s="33"/>
      <c r="AM222" s="33">
        <f t="shared" si="214"/>
        <v>3000000</v>
      </c>
      <c r="AN222" s="33">
        <v>0</v>
      </c>
      <c r="AO222" s="7">
        <v>0</v>
      </c>
      <c r="AP222" s="7">
        <f t="shared" si="227"/>
        <v>0</v>
      </c>
      <c r="AQ222" s="7"/>
      <c r="AR222" s="7"/>
      <c r="AS222" s="7">
        <f t="shared" si="228"/>
        <v>0</v>
      </c>
      <c r="AT222" s="7"/>
      <c r="AU222" s="7"/>
      <c r="AV222" s="7">
        <f t="shared" si="229"/>
        <v>0</v>
      </c>
      <c r="AW222" s="7">
        <v>978025.7</v>
      </c>
      <c r="AX222" s="7">
        <v>136923.60999999999</v>
      </c>
      <c r="AY222" s="7">
        <f t="shared" si="230"/>
        <v>1114949.31</v>
      </c>
      <c r="AZ222" s="7"/>
      <c r="BA222" s="7"/>
      <c r="BB222" s="7">
        <f t="shared" si="231"/>
        <v>0</v>
      </c>
      <c r="BC222" s="7"/>
      <c r="BD222" s="7"/>
      <c r="BE222" s="7">
        <f t="shared" si="232"/>
        <v>0</v>
      </c>
      <c r="BF222" s="7"/>
      <c r="BG222" s="7"/>
      <c r="BH222" s="7">
        <f t="shared" si="233"/>
        <v>0</v>
      </c>
      <c r="BI222" s="7"/>
      <c r="BJ222" s="7"/>
      <c r="BK222" s="7">
        <f t="shared" si="234"/>
        <v>0</v>
      </c>
      <c r="BL222" s="7"/>
      <c r="BM222" s="7"/>
      <c r="BN222" s="7">
        <f t="shared" si="235"/>
        <v>0</v>
      </c>
      <c r="BO222" s="7"/>
      <c r="BP222" s="7"/>
      <c r="BQ222" s="7">
        <f t="shared" si="236"/>
        <v>0</v>
      </c>
      <c r="BR222" s="7"/>
      <c r="BS222" s="7"/>
      <c r="BT222" s="7">
        <f t="shared" si="237"/>
        <v>0</v>
      </c>
      <c r="BU222" s="7"/>
      <c r="BV222" s="7"/>
      <c r="BW222" s="7">
        <f t="shared" si="238"/>
        <v>0</v>
      </c>
      <c r="BX222" s="7"/>
      <c r="BY222" s="7">
        <f t="shared" si="205"/>
        <v>978025.7</v>
      </c>
      <c r="BZ222" s="7">
        <f t="shared" si="206"/>
        <v>1114949.31</v>
      </c>
      <c r="CA222" s="7"/>
      <c r="CB222" s="7">
        <f t="shared" si="207"/>
        <v>2021974.3</v>
      </c>
      <c r="CC222" s="7">
        <f t="shared" si="208"/>
        <v>1885050.69</v>
      </c>
      <c r="CD222" s="15">
        <f t="shared" si="209"/>
        <v>0.32600856666666667</v>
      </c>
      <c r="CE222" s="15">
        <f t="shared" si="210"/>
        <v>0.37164977000000005</v>
      </c>
      <c r="CF222" s="12" t="s">
        <v>685</v>
      </c>
      <c r="CG222" s="7">
        <v>0</v>
      </c>
      <c r="CH222" s="7">
        <v>0</v>
      </c>
      <c r="CI222" s="7"/>
      <c r="CJ222" s="7"/>
      <c r="CK222" s="7"/>
      <c r="CL222" s="7">
        <f>CK222</f>
        <v>0</v>
      </c>
      <c r="CM222" s="7"/>
      <c r="CN222" s="7">
        <f>CM222</f>
        <v>0</v>
      </c>
      <c r="CO222" s="7">
        <v>7827.24</v>
      </c>
      <c r="CP222" s="7">
        <v>1095.81</v>
      </c>
      <c r="CQ222" s="7">
        <f t="shared" si="245"/>
        <v>8923.0499999999993</v>
      </c>
      <c r="CR222" s="7">
        <f>CK222+CM222+CO222</f>
        <v>7827.24</v>
      </c>
      <c r="CS222" s="7">
        <f>CL222+CN222+CQ222</f>
        <v>8923.0499999999993</v>
      </c>
      <c r="CT222" s="7"/>
      <c r="CU222" s="7"/>
      <c r="CV222" s="7">
        <f>CT222+CU222</f>
        <v>0</v>
      </c>
      <c r="CW222" s="7"/>
      <c r="CX222" s="7"/>
      <c r="CY222" s="7">
        <f t="shared" si="246"/>
        <v>0</v>
      </c>
      <c r="CZ222" s="7"/>
      <c r="DA222" s="7"/>
      <c r="DB222" s="7">
        <f t="shared" si="247"/>
        <v>0</v>
      </c>
      <c r="DC222" s="7"/>
      <c r="DD222" s="7">
        <f>DC222</f>
        <v>0</v>
      </c>
      <c r="DE222" s="7"/>
      <c r="DF222" s="7">
        <f>DE222</f>
        <v>0</v>
      </c>
      <c r="DG222" s="7"/>
      <c r="DH222" s="7">
        <f>DG222</f>
        <v>0</v>
      </c>
      <c r="DI222" s="7"/>
      <c r="DJ222" s="7">
        <f>DI222</f>
        <v>0</v>
      </c>
      <c r="DK222" s="7"/>
      <c r="DL222" s="7">
        <f>DK222</f>
        <v>0</v>
      </c>
      <c r="DM222" s="7"/>
      <c r="DN222" s="7">
        <f>DM222</f>
        <v>0</v>
      </c>
      <c r="DO222" s="7"/>
      <c r="DP222" s="14">
        <f t="shared" si="248"/>
        <v>7827.24</v>
      </c>
      <c r="DQ222" s="14">
        <f t="shared" si="249"/>
        <v>8923.0499999999993</v>
      </c>
      <c r="DR222" s="7"/>
      <c r="DS222" s="7">
        <f t="shared" si="250"/>
        <v>3992172.76</v>
      </c>
      <c r="DT222" s="7">
        <f t="shared" si="251"/>
        <v>3991076.95</v>
      </c>
      <c r="DU222" s="15">
        <f t="shared" si="239"/>
        <v>1.9568099999999998E-3</v>
      </c>
      <c r="DV222" s="15">
        <f t="shared" si="240"/>
        <v>2.2307625E-3</v>
      </c>
      <c r="DW222" s="7"/>
      <c r="DX222" s="7"/>
      <c r="DY222" s="7"/>
      <c r="DZ222" s="27"/>
      <c r="EA222" s="319"/>
    </row>
    <row r="223" spans="1:131" s="10" customFormat="1" ht="66" customHeight="1" x14ac:dyDescent="0.25">
      <c r="A223" s="24" t="s">
        <v>83</v>
      </c>
      <c r="B223" s="12" t="s">
        <v>18</v>
      </c>
      <c r="C223" s="24" t="s">
        <v>243</v>
      </c>
      <c r="D223" s="10" t="s">
        <v>75</v>
      </c>
      <c r="E223" s="3">
        <v>765010</v>
      </c>
      <c r="F223" s="353">
        <v>4</v>
      </c>
      <c r="G223" s="353">
        <v>36</v>
      </c>
      <c r="H223" s="353">
        <v>1546</v>
      </c>
      <c r="I223" s="9" t="s">
        <v>324</v>
      </c>
      <c r="J223" s="10" t="s">
        <v>75</v>
      </c>
      <c r="K223" s="3">
        <v>4</v>
      </c>
      <c r="L223" s="11">
        <v>36</v>
      </c>
      <c r="M223" s="45"/>
      <c r="N223" s="11" t="s">
        <v>186</v>
      </c>
      <c r="O223" s="11" t="s">
        <v>192</v>
      </c>
      <c r="P223" s="11" t="s">
        <v>187</v>
      </c>
      <c r="Q223" s="3" t="s">
        <v>187</v>
      </c>
      <c r="R223" s="3">
        <v>160</v>
      </c>
      <c r="S223" s="3" t="s">
        <v>188</v>
      </c>
      <c r="T223" s="12" t="s">
        <v>28</v>
      </c>
      <c r="U223" s="12"/>
      <c r="V223" s="12" t="s">
        <v>222</v>
      </c>
      <c r="W223" s="12"/>
      <c r="X223" s="8"/>
      <c r="Y223" s="25" t="s">
        <v>69</v>
      </c>
      <c r="Z223" s="25"/>
      <c r="AA223" s="10" t="s">
        <v>503</v>
      </c>
      <c r="AB223" s="12" t="s">
        <v>37</v>
      </c>
      <c r="AC223" s="7"/>
      <c r="AD223" s="7"/>
      <c r="AE223" s="7"/>
      <c r="AF223" s="7"/>
      <c r="AG223" s="7"/>
      <c r="AH223" s="7"/>
      <c r="AI223" s="7"/>
      <c r="AJ223" s="62"/>
      <c r="AK223" s="7">
        <v>1000000</v>
      </c>
      <c r="AL223" s="33"/>
      <c r="AM223" s="33">
        <f t="shared" si="214"/>
        <v>1000000</v>
      </c>
      <c r="AN223" s="33">
        <v>0</v>
      </c>
      <c r="AO223" s="7">
        <v>0</v>
      </c>
      <c r="AP223" s="7">
        <f t="shared" ref="AP223:AP228" si="252">AN223+AO223</f>
        <v>0</v>
      </c>
      <c r="AQ223" s="7">
        <v>190000</v>
      </c>
      <c r="AR223" s="7"/>
      <c r="AS223" s="7">
        <f t="shared" si="228"/>
        <v>190000</v>
      </c>
      <c r="AT223" s="7">
        <v>746098.5</v>
      </c>
      <c r="AU223" s="7">
        <v>0</v>
      </c>
      <c r="AV223" s="7">
        <f t="shared" si="229"/>
        <v>746098.5</v>
      </c>
      <c r="AW223" s="7">
        <v>-91626.13</v>
      </c>
      <c r="AX223" s="7"/>
      <c r="AY223" s="7">
        <f t="shared" si="230"/>
        <v>-91626.13</v>
      </c>
      <c r="AZ223" s="7"/>
      <c r="BA223" s="7"/>
      <c r="BB223" s="7">
        <f>AZ223+BA223</f>
        <v>0</v>
      </c>
      <c r="BC223" s="7"/>
      <c r="BD223" s="7"/>
      <c r="BE223" s="7">
        <f>BC223+BD223</f>
        <v>0</v>
      </c>
      <c r="BF223" s="7"/>
      <c r="BG223" s="7"/>
      <c r="BH223" s="7">
        <f>BF223+BG223</f>
        <v>0</v>
      </c>
      <c r="BI223" s="7"/>
      <c r="BJ223" s="7"/>
      <c r="BK223" s="7">
        <f>BI223+BJ223</f>
        <v>0</v>
      </c>
      <c r="BL223" s="7"/>
      <c r="BM223" s="7"/>
      <c r="BN223" s="7">
        <f>BL223+BM223</f>
        <v>0</v>
      </c>
      <c r="BO223" s="7"/>
      <c r="BP223" s="7"/>
      <c r="BQ223" s="7">
        <f>BO223+BP223</f>
        <v>0</v>
      </c>
      <c r="BR223" s="7"/>
      <c r="BS223" s="7"/>
      <c r="BT223" s="7">
        <f>BR223+BS223</f>
        <v>0</v>
      </c>
      <c r="BU223" s="7"/>
      <c r="BV223" s="7"/>
      <c r="BW223" s="7">
        <f>BU223+BV223</f>
        <v>0</v>
      </c>
      <c r="BX223" s="7">
        <v>29500</v>
      </c>
      <c r="BY223" s="7">
        <f t="shared" si="205"/>
        <v>844472.37</v>
      </c>
      <c r="BZ223" s="7">
        <f t="shared" si="206"/>
        <v>844472.37</v>
      </c>
      <c r="CA223" s="7"/>
      <c r="CB223" s="7">
        <f t="shared" si="207"/>
        <v>155527.63</v>
      </c>
      <c r="CC223" s="7">
        <f t="shared" si="208"/>
        <v>155527.63</v>
      </c>
      <c r="CD223" s="15">
        <f t="shared" si="209"/>
        <v>0.84447236999999997</v>
      </c>
      <c r="CE223" s="15">
        <f t="shared" si="210"/>
        <v>0.84447236999999997</v>
      </c>
      <c r="CF223" s="12" t="s">
        <v>865</v>
      </c>
      <c r="CG223" s="7">
        <v>1500000</v>
      </c>
      <c r="CH223" s="7">
        <v>0</v>
      </c>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c r="DK223" s="7"/>
      <c r="DL223" s="7"/>
      <c r="DM223" s="7"/>
      <c r="DN223" s="7"/>
      <c r="DO223" s="7"/>
      <c r="DP223" s="14"/>
      <c r="DQ223" s="14"/>
      <c r="DR223" s="7"/>
      <c r="DS223" s="7"/>
      <c r="DT223" s="7"/>
      <c r="DU223" s="15"/>
      <c r="DV223" s="15"/>
      <c r="DW223" s="15"/>
      <c r="DX223" s="15"/>
      <c r="DY223" s="7"/>
      <c r="DZ223" s="27"/>
      <c r="EA223" s="319"/>
    </row>
    <row r="224" spans="1:131" s="10" customFormat="1" x14ac:dyDescent="0.25">
      <c r="A224" s="24" t="s">
        <v>83</v>
      </c>
      <c r="B224" s="12" t="s">
        <v>18</v>
      </c>
      <c r="C224" s="24" t="s">
        <v>243</v>
      </c>
      <c r="D224" s="10" t="s">
        <v>75</v>
      </c>
      <c r="E224" s="3">
        <v>765010</v>
      </c>
      <c r="F224" s="353">
        <v>4</v>
      </c>
      <c r="G224" s="353">
        <v>36</v>
      </c>
      <c r="H224" s="353">
        <v>1566</v>
      </c>
      <c r="I224" s="9" t="s">
        <v>324</v>
      </c>
      <c r="J224" s="10" t="s">
        <v>75</v>
      </c>
      <c r="K224" s="3">
        <v>4</v>
      </c>
      <c r="L224" s="11">
        <v>36</v>
      </c>
      <c r="M224" s="45"/>
      <c r="N224" s="3" t="s">
        <v>186</v>
      </c>
      <c r="O224" s="3" t="s">
        <v>192</v>
      </c>
      <c r="P224" s="3" t="s">
        <v>187</v>
      </c>
      <c r="Q224" s="3" t="s">
        <v>187</v>
      </c>
      <c r="R224" s="3">
        <v>160</v>
      </c>
      <c r="S224" s="3" t="s">
        <v>188</v>
      </c>
      <c r="T224" s="12" t="s">
        <v>28</v>
      </c>
      <c r="U224" s="12"/>
      <c r="V224" s="12" t="s">
        <v>222</v>
      </c>
      <c r="W224" s="12" t="s">
        <v>2</v>
      </c>
      <c r="X224" s="8" t="s">
        <v>15</v>
      </c>
      <c r="Y224" s="25" t="s">
        <v>69</v>
      </c>
      <c r="Z224" s="25" t="s">
        <v>144</v>
      </c>
      <c r="AA224" s="10" t="s">
        <v>690</v>
      </c>
      <c r="AB224" s="12" t="s">
        <v>37</v>
      </c>
      <c r="AC224" s="7"/>
      <c r="AD224" s="7"/>
      <c r="AE224" s="7"/>
      <c r="AF224" s="7"/>
      <c r="AG224" s="7"/>
      <c r="AH224" s="7"/>
      <c r="AI224" s="7"/>
      <c r="AJ224" s="62"/>
      <c r="AK224" s="440"/>
      <c r="AL224" s="33">
        <v>5000000</v>
      </c>
      <c r="AM224" s="33">
        <f t="shared" si="214"/>
        <v>5000000</v>
      </c>
      <c r="AN224" s="33"/>
      <c r="AO224" s="7"/>
      <c r="AP224" s="7">
        <f t="shared" si="252"/>
        <v>0</v>
      </c>
      <c r="AQ224" s="7"/>
      <c r="AR224" s="7"/>
      <c r="AS224" s="7">
        <f t="shared" si="228"/>
        <v>0</v>
      </c>
      <c r="AT224" s="7"/>
      <c r="AU224" s="7"/>
      <c r="AV224" s="7">
        <f t="shared" si="229"/>
        <v>0</v>
      </c>
      <c r="AW224" s="7"/>
      <c r="AX224" s="7"/>
      <c r="AY224" s="7">
        <f t="shared" si="230"/>
        <v>0</v>
      </c>
      <c r="AZ224" s="7"/>
      <c r="BA224" s="7"/>
      <c r="BB224" s="7">
        <f t="shared" ref="BB224:BB227" si="253">AZ224+BA224</f>
        <v>0</v>
      </c>
      <c r="BC224" s="7"/>
      <c r="BD224" s="7"/>
      <c r="BE224" s="7">
        <f t="shared" ref="BE224:BE241" si="254">BC224+BD224</f>
        <v>0</v>
      </c>
      <c r="BF224" s="7"/>
      <c r="BG224" s="7"/>
      <c r="BH224" s="7">
        <f t="shared" ref="BH224:BH241" si="255">BF224+BG224</f>
        <v>0</v>
      </c>
      <c r="BI224" s="7"/>
      <c r="BJ224" s="7"/>
      <c r="BK224" s="7">
        <f t="shared" ref="BK224:BK241" si="256">BI224+BJ224</f>
        <v>0</v>
      </c>
      <c r="BL224" s="7"/>
      <c r="BM224" s="7"/>
      <c r="BN224" s="7">
        <f t="shared" ref="BN224:BN241" si="257">BL224+BM224</f>
        <v>0</v>
      </c>
      <c r="BO224" s="7"/>
      <c r="BP224" s="7"/>
      <c r="BQ224" s="7">
        <f t="shared" ref="BQ224:BQ241" si="258">BO224+BP224</f>
        <v>0</v>
      </c>
      <c r="BR224" s="7"/>
      <c r="BS224" s="7"/>
      <c r="BT224" s="7">
        <f t="shared" ref="BT224:BT241" si="259">BR224+BS224</f>
        <v>0</v>
      </c>
      <c r="BU224" s="7"/>
      <c r="BV224" s="7"/>
      <c r="BW224" s="7">
        <f t="shared" ref="BW224:BW232" si="260">BU224+BV224</f>
        <v>0</v>
      </c>
      <c r="BX224" s="7"/>
      <c r="BY224" s="7">
        <f t="shared" si="205"/>
        <v>0</v>
      </c>
      <c r="BZ224" s="7">
        <f t="shared" si="206"/>
        <v>0</v>
      </c>
      <c r="CA224" s="7"/>
      <c r="CB224" s="7">
        <f t="shared" si="207"/>
        <v>5000000</v>
      </c>
      <c r="CC224" s="7">
        <f t="shared" si="208"/>
        <v>5000000</v>
      </c>
      <c r="CD224" s="15">
        <f t="shared" si="209"/>
        <v>0</v>
      </c>
      <c r="CE224" s="15">
        <f t="shared" si="210"/>
        <v>0</v>
      </c>
      <c r="CF224" s="12" t="s">
        <v>892</v>
      </c>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14"/>
      <c r="DQ224" s="14"/>
      <c r="DR224" s="7"/>
      <c r="DS224" s="7"/>
      <c r="DT224" s="7"/>
      <c r="DU224" s="15"/>
      <c r="DV224" s="15"/>
      <c r="DW224" s="15"/>
      <c r="DX224" s="15"/>
      <c r="DY224" s="7"/>
      <c r="DZ224" s="27"/>
      <c r="EA224" s="319"/>
    </row>
    <row r="225" spans="1:131" s="10" customFormat="1" x14ac:dyDescent="0.25">
      <c r="A225" s="24" t="s">
        <v>83</v>
      </c>
      <c r="B225" s="12"/>
      <c r="C225" s="24" t="s">
        <v>243</v>
      </c>
      <c r="E225" s="3">
        <v>765010</v>
      </c>
      <c r="F225" s="353">
        <v>6</v>
      </c>
      <c r="G225" s="353">
        <v>36</v>
      </c>
      <c r="H225" s="353">
        <v>1501</v>
      </c>
      <c r="I225" s="9" t="s">
        <v>324</v>
      </c>
      <c r="J225" s="10" t="s">
        <v>75</v>
      </c>
      <c r="K225" s="3"/>
      <c r="L225" s="11"/>
      <c r="M225" s="45"/>
      <c r="N225" s="3" t="s">
        <v>186</v>
      </c>
      <c r="O225" s="3" t="s">
        <v>192</v>
      </c>
      <c r="P225" s="3" t="s">
        <v>187</v>
      </c>
      <c r="Q225" s="3" t="s">
        <v>187</v>
      </c>
      <c r="R225" s="3">
        <v>160</v>
      </c>
      <c r="S225" s="11" t="s">
        <v>259</v>
      </c>
      <c r="T225" s="12" t="s">
        <v>28</v>
      </c>
      <c r="U225" s="12"/>
      <c r="V225" s="12" t="s">
        <v>222</v>
      </c>
      <c r="W225" s="12"/>
      <c r="X225" s="8"/>
      <c r="Y225" s="25"/>
      <c r="Z225" s="25"/>
      <c r="AA225" s="10" t="s">
        <v>726</v>
      </c>
      <c r="AB225" s="12" t="s">
        <v>727</v>
      </c>
      <c r="AC225" s="7"/>
      <c r="AD225" s="7"/>
      <c r="AE225" s="7"/>
      <c r="AF225" s="7"/>
      <c r="AG225" s="7"/>
      <c r="AH225" s="7"/>
      <c r="AI225" s="7"/>
      <c r="AJ225" s="62"/>
      <c r="AK225" s="440"/>
      <c r="AL225" s="33">
        <v>2686285</v>
      </c>
      <c r="AM225" s="33">
        <f t="shared" si="214"/>
        <v>2686285</v>
      </c>
      <c r="AN225" s="33"/>
      <c r="AO225" s="7"/>
      <c r="AP225" s="7">
        <f t="shared" si="252"/>
        <v>0</v>
      </c>
      <c r="AQ225" s="7"/>
      <c r="AR225" s="7"/>
      <c r="AS225" s="7">
        <f t="shared" si="228"/>
        <v>0</v>
      </c>
      <c r="AT225" s="7">
        <v>180000</v>
      </c>
      <c r="AU225" s="7"/>
      <c r="AV225" s="7">
        <f t="shared" si="229"/>
        <v>180000</v>
      </c>
      <c r="AW225" s="7">
        <v>68800</v>
      </c>
      <c r="AX225" s="7"/>
      <c r="AY225" s="7">
        <f t="shared" si="230"/>
        <v>68800</v>
      </c>
      <c r="AZ225" s="7"/>
      <c r="BA225" s="7"/>
      <c r="BB225" s="7"/>
      <c r="BC225" s="7"/>
      <c r="BD225" s="7"/>
      <c r="BE225" s="7"/>
      <c r="BF225" s="7"/>
      <c r="BG225" s="7"/>
      <c r="BH225" s="7"/>
      <c r="BI225" s="7"/>
      <c r="BJ225" s="7"/>
      <c r="BK225" s="7"/>
      <c r="BL225" s="7"/>
      <c r="BM225" s="7"/>
      <c r="BN225" s="7"/>
      <c r="BO225" s="7"/>
      <c r="BP225" s="7"/>
      <c r="BQ225" s="7"/>
      <c r="BR225" s="7"/>
      <c r="BS225" s="7"/>
      <c r="BT225" s="7"/>
      <c r="BU225" s="7"/>
      <c r="BV225" s="7"/>
      <c r="BW225" s="7"/>
      <c r="BX225" s="7">
        <v>260100</v>
      </c>
      <c r="BY225" s="7">
        <f t="shared" si="205"/>
        <v>248800</v>
      </c>
      <c r="BZ225" s="7">
        <f t="shared" si="206"/>
        <v>248800</v>
      </c>
      <c r="CA225" s="7"/>
      <c r="CB225" s="7">
        <f t="shared" si="207"/>
        <v>2437485</v>
      </c>
      <c r="CC225" s="7">
        <f t="shared" si="208"/>
        <v>2437485</v>
      </c>
      <c r="CD225" s="15">
        <f t="shared" si="209"/>
        <v>9.2618616416351954E-2</v>
      </c>
      <c r="CE225" s="15">
        <f t="shared" si="210"/>
        <v>9.2618616416351954E-2</v>
      </c>
      <c r="CF225" s="451" t="s">
        <v>872</v>
      </c>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14"/>
      <c r="DQ225" s="14"/>
      <c r="DR225" s="7"/>
      <c r="DS225" s="7"/>
      <c r="DT225" s="7"/>
      <c r="DU225" s="15"/>
      <c r="DV225" s="15"/>
      <c r="DW225" s="15"/>
      <c r="DX225" s="15"/>
      <c r="DY225" s="7"/>
      <c r="DZ225" s="27"/>
      <c r="EA225" s="319"/>
    </row>
    <row r="226" spans="1:131" s="10" customFormat="1" ht="53.25" customHeight="1" x14ac:dyDescent="0.25">
      <c r="A226" s="24" t="s">
        <v>83</v>
      </c>
      <c r="B226" s="12"/>
      <c r="C226" s="24" t="s">
        <v>243</v>
      </c>
      <c r="E226" s="3">
        <v>765010</v>
      </c>
      <c r="F226" s="353">
        <v>6</v>
      </c>
      <c r="G226" s="359" t="s">
        <v>187</v>
      </c>
      <c r="H226" s="353">
        <v>1526</v>
      </c>
      <c r="I226" s="9" t="s">
        <v>324</v>
      </c>
      <c r="J226" s="10" t="s">
        <v>75</v>
      </c>
      <c r="K226" s="3"/>
      <c r="L226" s="11"/>
      <c r="M226" s="45"/>
      <c r="N226" s="3" t="s">
        <v>186</v>
      </c>
      <c r="O226" s="3" t="s">
        <v>192</v>
      </c>
      <c r="P226" s="3" t="s">
        <v>187</v>
      </c>
      <c r="Q226" s="3" t="s">
        <v>187</v>
      </c>
      <c r="R226" s="3">
        <v>160</v>
      </c>
      <c r="S226" s="11" t="s">
        <v>259</v>
      </c>
      <c r="T226" s="12" t="s">
        <v>28</v>
      </c>
      <c r="U226" s="12"/>
      <c r="V226" s="12" t="s">
        <v>222</v>
      </c>
      <c r="W226" s="12"/>
      <c r="X226" s="8"/>
      <c r="Y226" s="25"/>
      <c r="Z226" s="25"/>
      <c r="AA226" s="10" t="s">
        <v>729</v>
      </c>
      <c r="AB226" s="12" t="s">
        <v>697</v>
      </c>
      <c r="AC226" s="7"/>
      <c r="AD226" s="7"/>
      <c r="AE226" s="7"/>
      <c r="AF226" s="7"/>
      <c r="AG226" s="7"/>
      <c r="AH226" s="7"/>
      <c r="AI226" s="7"/>
      <c r="AJ226" s="62"/>
      <c r="AK226" s="440"/>
      <c r="AL226" s="33">
        <v>384660</v>
      </c>
      <c r="AM226" s="33">
        <f t="shared" si="214"/>
        <v>384660</v>
      </c>
      <c r="AN226" s="33"/>
      <c r="AO226" s="7"/>
      <c r="AP226" s="7">
        <f t="shared" si="252"/>
        <v>0</v>
      </c>
      <c r="AQ226" s="7"/>
      <c r="AR226" s="7"/>
      <c r="AS226" s="7">
        <f t="shared" si="228"/>
        <v>0</v>
      </c>
      <c r="AT226" s="7"/>
      <c r="AU226" s="7"/>
      <c r="AV226" s="7">
        <f t="shared" si="229"/>
        <v>0</v>
      </c>
      <c r="AW226" s="7"/>
      <c r="AX226" s="7"/>
      <c r="AY226" s="7">
        <f t="shared" si="230"/>
        <v>0</v>
      </c>
      <c r="AZ226" s="7"/>
      <c r="BA226" s="7"/>
      <c r="BB226" s="7"/>
      <c r="BC226" s="7"/>
      <c r="BD226" s="7"/>
      <c r="BE226" s="7"/>
      <c r="BF226" s="7"/>
      <c r="BG226" s="7"/>
      <c r="BH226" s="7"/>
      <c r="BI226" s="7"/>
      <c r="BJ226" s="7"/>
      <c r="BK226" s="7"/>
      <c r="BL226" s="7"/>
      <c r="BM226" s="7"/>
      <c r="BN226" s="7"/>
      <c r="BO226" s="7"/>
      <c r="BP226" s="7"/>
      <c r="BQ226" s="7"/>
      <c r="BR226" s="7"/>
      <c r="BS226" s="7"/>
      <c r="BT226" s="7"/>
      <c r="BU226" s="7"/>
      <c r="BV226" s="7"/>
      <c r="BW226" s="7"/>
      <c r="BX226" s="7"/>
      <c r="BY226" s="7">
        <f t="shared" si="205"/>
        <v>0</v>
      </c>
      <c r="BZ226" s="7">
        <f t="shared" si="206"/>
        <v>0</v>
      </c>
      <c r="CA226" s="7"/>
      <c r="CB226" s="7">
        <f t="shared" si="207"/>
        <v>384660</v>
      </c>
      <c r="CC226" s="7">
        <f t="shared" si="208"/>
        <v>384660</v>
      </c>
      <c r="CD226" s="15">
        <f t="shared" si="209"/>
        <v>0</v>
      </c>
      <c r="CE226" s="15">
        <f t="shared" si="210"/>
        <v>0</v>
      </c>
      <c r="CF226" s="451" t="s">
        <v>822</v>
      </c>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c r="DK226" s="7"/>
      <c r="DL226" s="7"/>
      <c r="DM226" s="7"/>
      <c r="DN226" s="7"/>
      <c r="DO226" s="7"/>
      <c r="DP226" s="14"/>
      <c r="DQ226" s="14"/>
      <c r="DR226" s="7"/>
      <c r="DS226" s="7"/>
      <c r="DT226" s="7"/>
      <c r="DU226" s="15"/>
      <c r="DV226" s="15"/>
      <c r="DW226" s="15"/>
      <c r="DX226" s="15"/>
      <c r="DY226" s="7"/>
      <c r="DZ226" s="27"/>
      <c r="EA226" s="319"/>
    </row>
    <row r="227" spans="1:131" s="10" customFormat="1" x14ac:dyDescent="0.25">
      <c r="A227" s="24" t="s">
        <v>83</v>
      </c>
      <c r="B227" s="12" t="s">
        <v>680</v>
      </c>
      <c r="C227" s="24" t="s">
        <v>657</v>
      </c>
      <c r="E227" s="3">
        <v>765015</v>
      </c>
      <c r="F227" s="353">
        <v>4</v>
      </c>
      <c r="G227" s="359" t="s">
        <v>187</v>
      </c>
      <c r="H227" s="353">
        <v>1547</v>
      </c>
      <c r="I227" s="9" t="s">
        <v>324</v>
      </c>
      <c r="J227" s="10" t="s">
        <v>75</v>
      </c>
      <c r="K227" s="3">
        <v>4</v>
      </c>
      <c r="L227" s="11" t="s">
        <v>187</v>
      </c>
      <c r="M227" s="45"/>
      <c r="N227" s="11" t="s">
        <v>186</v>
      </c>
      <c r="O227" s="11" t="s">
        <v>192</v>
      </c>
      <c r="P227" s="11" t="s">
        <v>187</v>
      </c>
      <c r="Q227" s="3" t="s">
        <v>187</v>
      </c>
      <c r="R227" s="3">
        <v>160</v>
      </c>
      <c r="S227" s="3" t="s">
        <v>188</v>
      </c>
      <c r="T227" s="12" t="s">
        <v>28</v>
      </c>
      <c r="U227" s="12"/>
      <c r="V227" s="12" t="s">
        <v>222</v>
      </c>
      <c r="W227" s="12"/>
      <c r="X227" s="8"/>
      <c r="Y227" s="25" t="s">
        <v>69</v>
      </c>
      <c r="Z227" s="25"/>
      <c r="AA227" s="10" t="s">
        <v>506</v>
      </c>
      <c r="AB227" s="12" t="s">
        <v>8</v>
      </c>
      <c r="AC227" s="7"/>
      <c r="AD227" s="7"/>
      <c r="AE227" s="7"/>
      <c r="AF227" s="7"/>
      <c r="AG227" s="7"/>
      <c r="AH227" s="7"/>
      <c r="AI227" s="7"/>
      <c r="AJ227" s="62"/>
      <c r="AK227" s="7">
        <v>2000000</v>
      </c>
      <c r="AL227" s="33"/>
      <c r="AM227" s="33">
        <f t="shared" si="214"/>
        <v>2000000</v>
      </c>
      <c r="AN227" s="33">
        <v>0</v>
      </c>
      <c r="AO227" s="7">
        <v>0</v>
      </c>
      <c r="AP227" s="7">
        <f t="shared" si="252"/>
        <v>0</v>
      </c>
      <c r="AQ227" s="7"/>
      <c r="AR227" s="7"/>
      <c r="AS227" s="7">
        <f t="shared" si="228"/>
        <v>0</v>
      </c>
      <c r="AT227" s="7"/>
      <c r="AU227" s="7"/>
      <c r="AV227" s="7">
        <f t="shared" si="229"/>
        <v>0</v>
      </c>
      <c r="AW227" s="7"/>
      <c r="AX227" s="7"/>
      <c r="AY227" s="7">
        <f t="shared" si="230"/>
        <v>0</v>
      </c>
      <c r="AZ227" s="7"/>
      <c r="BA227" s="7"/>
      <c r="BB227" s="7">
        <f t="shared" si="253"/>
        <v>0</v>
      </c>
      <c r="BC227" s="7"/>
      <c r="BD227" s="7"/>
      <c r="BE227" s="7">
        <f t="shared" si="254"/>
        <v>0</v>
      </c>
      <c r="BF227" s="7"/>
      <c r="BG227" s="7"/>
      <c r="BH227" s="7">
        <f t="shared" si="255"/>
        <v>0</v>
      </c>
      <c r="BI227" s="7"/>
      <c r="BJ227" s="7"/>
      <c r="BK227" s="7">
        <f t="shared" si="256"/>
        <v>0</v>
      </c>
      <c r="BL227" s="7"/>
      <c r="BM227" s="7"/>
      <c r="BN227" s="7">
        <f t="shared" si="257"/>
        <v>0</v>
      </c>
      <c r="BO227" s="7"/>
      <c r="BP227" s="7"/>
      <c r="BQ227" s="7">
        <f t="shared" si="258"/>
        <v>0</v>
      </c>
      <c r="BR227" s="7"/>
      <c r="BS227" s="7"/>
      <c r="BT227" s="7">
        <f t="shared" si="259"/>
        <v>0</v>
      </c>
      <c r="BU227" s="7"/>
      <c r="BV227" s="7"/>
      <c r="BW227" s="7">
        <f t="shared" si="260"/>
        <v>0</v>
      </c>
      <c r="BX227" s="7"/>
      <c r="BY227" s="7">
        <f t="shared" si="205"/>
        <v>0</v>
      </c>
      <c r="BZ227" s="7">
        <f t="shared" si="206"/>
        <v>0</v>
      </c>
      <c r="CA227" s="7"/>
      <c r="CB227" s="7">
        <f t="shared" si="207"/>
        <v>2000000</v>
      </c>
      <c r="CC227" s="7">
        <f t="shared" si="208"/>
        <v>2000000</v>
      </c>
      <c r="CD227" s="15">
        <f t="shared" si="209"/>
        <v>0</v>
      </c>
      <c r="CE227" s="15">
        <f t="shared" si="210"/>
        <v>0</v>
      </c>
      <c r="CF227" s="451" t="s">
        <v>846</v>
      </c>
      <c r="CG227" s="7">
        <v>2500000</v>
      </c>
      <c r="CH227" s="7">
        <v>0</v>
      </c>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14"/>
      <c r="DQ227" s="14"/>
      <c r="DR227" s="7"/>
      <c r="DS227" s="7"/>
      <c r="DT227" s="7"/>
      <c r="DU227" s="15"/>
      <c r="DV227" s="15"/>
      <c r="DW227" s="15"/>
      <c r="DX227" s="15"/>
      <c r="DY227" s="7"/>
      <c r="DZ227" s="27"/>
      <c r="EA227" s="319"/>
    </row>
    <row r="228" spans="1:131" s="10" customFormat="1" x14ac:dyDescent="0.25">
      <c r="A228" s="24" t="s">
        <v>83</v>
      </c>
      <c r="B228" s="12" t="s">
        <v>679</v>
      </c>
      <c r="C228" s="24" t="s">
        <v>656</v>
      </c>
      <c r="D228" s="10" t="s">
        <v>75</v>
      </c>
      <c r="E228" s="3">
        <v>765020</v>
      </c>
      <c r="F228" s="353">
        <v>4</v>
      </c>
      <c r="G228" s="353">
        <v>36</v>
      </c>
      <c r="H228" s="353">
        <v>1547</v>
      </c>
      <c r="I228" s="9" t="s">
        <v>324</v>
      </c>
      <c r="J228" s="10" t="s">
        <v>75</v>
      </c>
      <c r="K228" s="3">
        <v>4</v>
      </c>
      <c r="L228" s="11">
        <v>36</v>
      </c>
      <c r="M228" s="45"/>
      <c r="N228" s="11" t="s">
        <v>186</v>
      </c>
      <c r="O228" s="11" t="s">
        <v>192</v>
      </c>
      <c r="P228" s="11" t="s">
        <v>187</v>
      </c>
      <c r="Q228" s="3" t="s">
        <v>187</v>
      </c>
      <c r="R228" s="3">
        <v>190</v>
      </c>
      <c r="S228" s="3" t="s">
        <v>188</v>
      </c>
      <c r="T228" s="12" t="s">
        <v>288</v>
      </c>
      <c r="U228" s="12"/>
      <c r="V228" s="12" t="s">
        <v>222</v>
      </c>
      <c r="W228" s="12"/>
      <c r="X228" s="8"/>
      <c r="Y228" s="25" t="s">
        <v>69</v>
      </c>
      <c r="Z228" s="25"/>
      <c r="AA228" s="10" t="s">
        <v>504</v>
      </c>
      <c r="AB228" s="12" t="s">
        <v>37</v>
      </c>
      <c r="AC228" s="7"/>
      <c r="AD228" s="7"/>
      <c r="AE228" s="7"/>
      <c r="AF228" s="7"/>
      <c r="AG228" s="7"/>
      <c r="AH228" s="7"/>
      <c r="AI228" s="7"/>
      <c r="AJ228" s="62"/>
      <c r="AK228" s="7">
        <v>1000000</v>
      </c>
      <c r="AL228" s="33"/>
      <c r="AM228" s="33">
        <f t="shared" si="214"/>
        <v>1000000</v>
      </c>
      <c r="AN228" s="33">
        <v>0</v>
      </c>
      <c r="AO228" s="7">
        <v>0</v>
      </c>
      <c r="AP228" s="7">
        <f t="shared" si="252"/>
        <v>0</v>
      </c>
      <c r="AQ228" s="7"/>
      <c r="AR228" s="7"/>
      <c r="AS228" s="7">
        <f t="shared" si="228"/>
        <v>0</v>
      </c>
      <c r="AT228" s="7"/>
      <c r="AU228" s="7"/>
      <c r="AV228" s="7">
        <f t="shared" si="229"/>
        <v>0</v>
      </c>
      <c r="AW228" s="7"/>
      <c r="AX228" s="7"/>
      <c r="AY228" s="7">
        <f t="shared" si="230"/>
        <v>0</v>
      </c>
      <c r="AZ228" s="7"/>
      <c r="BA228" s="7"/>
      <c r="BB228" s="7">
        <f>AZ228+BA228</f>
        <v>0</v>
      </c>
      <c r="BC228" s="7"/>
      <c r="BD228" s="7"/>
      <c r="BE228" s="7">
        <f t="shared" si="254"/>
        <v>0</v>
      </c>
      <c r="BF228" s="7"/>
      <c r="BG228" s="7"/>
      <c r="BH228" s="7">
        <f t="shared" si="255"/>
        <v>0</v>
      </c>
      <c r="BI228" s="7"/>
      <c r="BJ228" s="7"/>
      <c r="BK228" s="7">
        <f t="shared" si="256"/>
        <v>0</v>
      </c>
      <c r="BL228" s="7"/>
      <c r="BM228" s="7"/>
      <c r="BN228" s="7">
        <f t="shared" si="257"/>
        <v>0</v>
      </c>
      <c r="BO228" s="7"/>
      <c r="BP228" s="7"/>
      <c r="BQ228" s="7">
        <f t="shared" si="258"/>
        <v>0</v>
      </c>
      <c r="BR228" s="7"/>
      <c r="BS228" s="7"/>
      <c r="BT228" s="7">
        <f t="shared" si="259"/>
        <v>0</v>
      </c>
      <c r="BU228" s="7"/>
      <c r="BV228" s="7"/>
      <c r="BW228" s="7">
        <f t="shared" si="260"/>
        <v>0</v>
      </c>
      <c r="BX228" s="7"/>
      <c r="BY228" s="7">
        <f t="shared" si="205"/>
        <v>0</v>
      </c>
      <c r="BZ228" s="7">
        <f t="shared" si="206"/>
        <v>0</v>
      </c>
      <c r="CA228" s="7"/>
      <c r="CB228" s="7">
        <f t="shared" si="207"/>
        <v>1000000</v>
      </c>
      <c r="CC228" s="7">
        <f t="shared" si="208"/>
        <v>1000000</v>
      </c>
      <c r="CD228" s="15">
        <f t="shared" si="209"/>
        <v>0</v>
      </c>
      <c r="CE228" s="15">
        <f t="shared" si="210"/>
        <v>0</v>
      </c>
      <c r="CF228" s="12" t="s">
        <v>685</v>
      </c>
      <c r="CG228" s="7">
        <v>5000000</v>
      </c>
      <c r="CH228" s="7">
        <v>10000000</v>
      </c>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c r="DK228" s="7"/>
      <c r="DL228" s="7"/>
      <c r="DM228" s="7"/>
      <c r="DN228" s="7"/>
      <c r="DO228" s="7"/>
      <c r="DP228" s="14"/>
      <c r="DQ228" s="14"/>
      <c r="DR228" s="7"/>
      <c r="DS228" s="7"/>
      <c r="DT228" s="7"/>
      <c r="DU228" s="15"/>
      <c r="DV228" s="15"/>
      <c r="DW228" s="15"/>
      <c r="DX228" s="15"/>
      <c r="DY228" s="7"/>
      <c r="DZ228" s="27"/>
      <c r="EA228" s="319"/>
    </row>
    <row r="229" spans="1:131" s="10" customFormat="1" x14ac:dyDescent="0.25">
      <c r="A229" s="24" t="s">
        <v>83</v>
      </c>
      <c r="B229" s="12" t="s">
        <v>678</v>
      </c>
      <c r="C229" s="24" t="s">
        <v>655</v>
      </c>
      <c r="E229" s="3">
        <v>765025</v>
      </c>
      <c r="F229" s="353">
        <v>4</v>
      </c>
      <c r="G229" s="359" t="s">
        <v>187</v>
      </c>
      <c r="H229" s="353">
        <v>1548</v>
      </c>
      <c r="I229" s="9" t="s">
        <v>324</v>
      </c>
      <c r="J229" s="10" t="s">
        <v>75</v>
      </c>
      <c r="K229" s="3">
        <v>4</v>
      </c>
      <c r="L229" s="11" t="s">
        <v>187</v>
      </c>
      <c r="M229" s="45"/>
      <c r="N229" s="11" t="s">
        <v>186</v>
      </c>
      <c r="O229" s="11" t="s">
        <v>192</v>
      </c>
      <c r="P229" s="11" t="s">
        <v>187</v>
      </c>
      <c r="Q229" s="3" t="s">
        <v>187</v>
      </c>
      <c r="R229" s="3">
        <v>190</v>
      </c>
      <c r="S229" s="3" t="s">
        <v>188</v>
      </c>
      <c r="T229" s="12" t="s">
        <v>288</v>
      </c>
      <c r="U229" s="12"/>
      <c r="V229" s="12" t="s">
        <v>222</v>
      </c>
      <c r="W229" s="12"/>
      <c r="X229" s="8"/>
      <c r="Y229" s="25" t="s">
        <v>69</v>
      </c>
      <c r="Z229" s="25"/>
      <c r="AA229" s="10" t="s">
        <v>502</v>
      </c>
      <c r="AB229" s="12" t="s">
        <v>8</v>
      </c>
      <c r="AC229" s="7"/>
      <c r="AD229" s="7"/>
      <c r="AE229" s="7"/>
      <c r="AF229" s="7"/>
      <c r="AG229" s="7"/>
      <c r="AH229" s="7"/>
      <c r="AI229" s="7"/>
      <c r="AJ229" s="62"/>
      <c r="AK229" s="7">
        <v>1000000</v>
      </c>
      <c r="AL229" s="33"/>
      <c r="AM229" s="33">
        <f t="shared" si="214"/>
        <v>1000000</v>
      </c>
      <c r="AN229" s="33">
        <v>0</v>
      </c>
      <c r="AO229" s="7">
        <v>0</v>
      </c>
      <c r="AP229" s="7">
        <f t="shared" si="227"/>
        <v>0</v>
      </c>
      <c r="AQ229" s="7"/>
      <c r="AR229" s="7"/>
      <c r="AS229" s="7">
        <f t="shared" si="228"/>
        <v>0</v>
      </c>
      <c r="AT229" s="7"/>
      <c r="AU229" s="7"/>
      <c r="AV229" s="7">
        <f t="shared" si="229"/>
        <v>0</v>
      </c>
      <c r="AW229" s="7"/>
      <c r="AX229" s="7"/>
      <c r="AY229" s="7">
        <f t="shared" si="230"/>
        <v>0</v>
      </c>
      <c r="AZ229" s="7"/>
      <c r="BA229" s="7"/>
      <c r="BB229" s="7">
        <f t="shared" si="231"/>
        <v>0</v>
      </c>
      <c r="BC229" s="7"/>
      <c r="BD229" s="7"/>
      <c r="BE229" s="7">
        <f t="shared" si="254"/>
        <v>0</v>
      </c>
      <c r="BF229" s="7"/>
      <c r="BG229" s="7"/>
      <c r="BH229" s="7">
        <f t="shared" si="255"/>
        <v>0</v>
      </c>
      <c r="BI229" s="7"/>
      <c r="BJ229" s="7"/>
      <c r="BK229" s="7">
        <f t="shared" si="256"/>
        <v>0</v>
      </c>
      <c r="BL229" s="7"/>
      <c r="BM229" s="7"/>
      <c r="BN229" s="7">
        <f t="shared" si="257"/>
        <v>0</v>
      </c>
      <c r="BO229" s="7"/>
      <c r="BP229" s="7"/>
      <c r="BQ229" s="7">
        <f t="shared" si="258"/>
        <v>0</v>
      </c>
      <c r="BR229" s="7"/>
      <c r="BS229" s="7"/>
      <c r="BT229" s="7">
        <f t="shared" si="259"/>
        <v>0</v>
      </c>
      <c r="BU229" s="7"/>
      <c r="BV229" s="7"/>
      <c r="BW229" s="7">
        <f t="shared" si="260"/>
        <v>0</v>
      </c>
      <c r="BX229" s="7"/>
      <c r="BY229" s="7">
        <f t="shared" ref="BY229:BY250" si="261">AN229+AQ229+AT229++AW229+AZ229+BC229+BF229+BI229+BL229+BO229+BR229+BU229</f>
        <v>0</v>
      </c>
      <c r="BZ229" s="7">
        <f t="shared" ref="BZ229:BZ250" si="262">AP229+AS229+AV229+AY229+BB229+BE229+BH229+BK229+BN229+BQ229+BT229+BW229</f>
        <v>0</v>
      </c>
      <c r="CA229" s="7"/>
      <c r="CB229" s="7">
        <f t="shared" ref="CB229:CB250" si="263">AM229-BY229</f>
        <v>1000000</v>
      </c>
      <c r="CC229" s="7">
        <f t="shared" si="208"/>
        <v>1000000</v>
      </c>
      <c r="CD229" s="15">
        <f t="shared" ref="CD229:CD252" si="264">BY229/AM229</f>
        <v>0</v>
      </c>
      <c r="CE229" s="15">
        <f t="shared" ref="CE229:CE252" si="265">BZ229/AM229</f>
        <v>0</v>
      </c>
      <c r="CF229" s="451" t="s">
        <v>846</v>
      </c>
      <c r="CG229" s="7">
        <v>1500000</v>
      </c>
      <c r="CH229" s="7">
        <v>0</v>
      </c>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14"/>
      <c r="DQ229" s="14"/>
      <c r="DR229" s="7"/>
      <c r="DS229" s="7"/>
      <c r="DT229" s="7"/>
      <c r="DU229" s="15"/>
      <c r="DV229" s="15"/>
      <c r="DW229" s="15"/>
      <c r="DX229" s="15"/>
      <c r="DY229" s="7"/>
      <c r="DZ229" s="27"/>
      <c r="EA229" s="319"/>
    </row>
    <row r="230" spans="1:131" s="10" customFormat="1" x14ac:dyDescent="0.25">
      <c r="A230" s="24" t="s">
        <v>83</v>
      </c>
      <c r="B230" s="12" t="s">
        <v>678</v>
      </c>
      <c r="C230" s="24" t="s">
        <v>243</v>
      </c>
      <c r="E230" s="3">
        <v>765025</v>
      </c>
      <c r="F230" s="353">
        <v>4</v>
      </c>
      <c r="G230" s="359" t="s">
        <v>187</v>
      </c>
      <c r="H230" s="353">
        <v>1549</v>
      </c>
      <c r="I230" s="9" t="s">
        <v>324</v>
      </c>
      <c r="J230" s="10" t="s">
        <v>75</v>
      </c>
      <c r="K230" s="3">
        <v>4</v>
      </c>
      <c r="L230" s="11" t="s">
        <v>187</v>
      </c>
      <c r="M230" s="45"/>
      <c r="N230" s="11" t="s">
        <v>186</v>
      </c>
      <c r="O230" s="11" t="s">
        <v>192</v>
      </c>
      <c r="P230" s="11" t="s">
        <v>187</v>
      </c>
      <c r="Q230" s="3" t="s">
        <v>187</v>
      </c>
      <c r="R230" s="3">
        <v>190</v>
      </c>
      <c r="S230" s="3" t="s">
        <v>188</v>
      </c>
      <c r="T230" s="12" t="s">
        <v>288</v>
      </c>
      <c r="U230" s="12"/>
      <c r="V230" s="12" t="s">
        <v>222</v>
      </c>
      <c r="W230" s="12"/>
      <c r="X230" s="8"/>
      <c r="Y230" s="25" t="s">
        <v>69</v>
      </c>
      <c r="Z230" s="25"/>
      <c r="AA230" s="10" t="s">
        <v>560</v>
      </c>
      <c r="AB230" s="12" t="s">
        <v>8</v>
      </c>
      <c r="AC230" s="7"/>
      <c r="AD230" s="7"/>
      <c r="AE230" s="7"/>
      <c r="AF230" s="7"/>
      <c r="AG230" s="7"/>
      <c r="AH230" s="7"/>
      <c r="AI230" s="7"/>
      <c r="AJ230" s="62"/>
      <c r="AK230" s="7">
        <v>238502</v>
      </c>
      <c r="AL230" s="33"/>
      <c r="AM230" s="33">
        <f t="shared" si="214"/>
        <v>238502</v>
      </c>
      <c r="AN230" s="33">
        <v>0</v>
      </c>
      <c r="AO230" s="7">
        <v>0</v>
      </c>
      <c r="AP230" s="7">
        <f>AN230+AO230</f>
        <v>0</v>
      </c>
      <c r="AQ230" s="7"/>
      <c r="AR230" s="7"/>
      <c r="AS230" s="7">
        <f t="shared" si="228"/>
        <v>0</v>
      </c>
      <c r="AT230" s="7"/>
      <c r="AU230" s="7"/>
      <c r="AV230" s="7">
        <f t="shared" si="229"/>
        <v>0</v>
      </c>
      <c r="AW230" s="7"/>
      <c r="AX230" s="7"/>
      <c r="AY230" s="7">
        <f t="shared" si="230"/>
        <v>0</v>
      </c>
      <c r="AZ230" s="7"/>
      <c r="BA230" s="7"/>
      <c r="BB230" s="7">
        <f>AZ230+BA230</f>
        <v>0</v>
      </c>
      <c r="BC230" s="7"/>
      <c r="BD230" s="7"/>
      <c r="BE230" s="7">
        <f t="shared" si="254"/>
        <v>0</v>
      </c>
      <c r="BF230" s="7"/>
      <c r="BG230" s="7"/>
      <c r="BH230" s="7">
        <f t="shared" si="255"/>
        <v>0</v>
      </c>
      <c r="BI230" s="7"/>
      <c r="BJ230" s="7"/>
      <c r="BK230" s="7">
        <f t="shared" si="256"/>
        <v>0</v>
      </c>
      <c r="BL230" s="7"/>
      <c r="BM230" s="7"/>
      <c r="BN230" s="7">
        <f t="shared" si="257"/>
        <v>0</v>
      </c>
      <c r="BO230" s="7"/>
      <c r="BP230" s="7"/>
      <c r="BQ230" s="7">
        <f t="shared" si="258"/>
        <v>0</v>
      </c>
      <c r="BR230" s="7"/>
      <c r="BS230" s="7"/>
      <c r="BT230" s="7">
        <f t="shared" si="259"/>
        <v>0</v>
      </c>
      <c r="BU230" s="7"/>
      <c r="BV230" s="7"/>
      <c r="BW230" s="7">
        <f t="shared" si="260"/>
        <v>0</v>
      </c>
      <c r="BX230" s="7"/>
      <c r="BY230" s="7">
        <f t="shared" si="261"/>
        <v>0</v>
      </c>
      <c r="BZ230" s="7">
        <f t="shared" si="262"/>
        <v>0</v>
      </c>
      <c r="CA230" s="7"/>
      <c r="CB230" s="7">
        <f t="shared" si="263"/>
        <v>238502</v>
      </c>
      <c r="CC230" s="7">
        <f t="shared" ref="CC230:CC250" si="266">AM230-BZ230</f>
        <v>238502</v>
      </c>
      <c r="CD230" s="15">
        <f t="shared" si="264"/>
        <v>0</v>
      </c>
      <c r="CE230" s="15">
        <f t="shared" si="265"/>
        <v>0</v>
      </c>
      <c r="CF230" s="451" t="s">
        <v>846</v>
      </c>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c r="DK230" s="7"/>
      <c r="DL230" s="7"/>
      <c r="DM230" s="7"/>
      <c r="DN230" s="7"/>
      <c r="DO230" s="7"/>
      <c r="DP230" s="14"/>
      <c r="DQ230" s="14"/>
      <c r="DR230" s="7"/>
      <c r="DS230" s="7"/>
      <c r="DT230" s="7"/>
      <c r="DU230" s="15"/>
      <c r="DV230" s="15"/>
      <c r="DW230" s="15"/>
      <c r="DX230" s="15"/>
      <c r="DY230" s="7"/>
      <c r="DZ230" s="27"/>
      <c r="EA230" s="319"/>
    </row>
    <row r="231" spans="1:131" s="10" customFormat="1" x14ac:dyDescent="0.25">
      <c r="A231" s="24" t="s">
        <v>83</v>
      </c>
      <c r="B231" s="12" t="s">
        <v>677</v>
      </c>
      <c r="C231" s="24" t="s">
        <v>654</v>
      </c>
      <c r="E231" s="3">
        <v>765030</v>
      </c>
      <c r="F231" s="353">
        <v>4</v>
      </c>
      <c r="G231" s="359" t="s">
        <v>187</v>
      </c>
      <c r="H231" s="353">
        <v>1550</v>
      </c>
      <c r="I231" s="9" t="s">
        <v>324</v>
      </c>
      <c r="J231" s="10" t="s">
        <v>75</v>
      </c>
      <c r="K231" s="3">
        <v>4</v>
      </c>
      <c r="L231" s="11" t="s">
        <v>187</v>
      </c>
      <c r="M231" s="45"/>
      <c r="N231" s="11" t="s">
        <v>186</v>
      </c>
      <c r="O231" s="11" t="s">
        <v>192</v>
      </c>
      <c r="P231" s="11" t="s">
        <v>187</v>
      </c>
      <c r="Q231" s="3" t="s">
        <v>187</v>
      </c>
      <c r="R231" s="3">
        <v>190</v>
      </c>
      <c r="S231" s="3" t="s">
        <v>188</v>
      </c>
      <c r="T231" s="12" t="s">
        <v>288</v>
      </c>
      <c r="U231" s="12"/>
      <c r="V231" s="12" t="s">
        <v>222</v>
      </c>
      <c r="W231" s="12"/>
      <c r="X231" s="8"/>
      <c r="Y231" s="25" t="s">
        <v>69</v>
      </c>
      <c r="Z231" s="25"/>
      <c r="AA231" s="10" t="s">
        <v>501</v>
      </c>
      <c r="AB231" s="12" t="s">
        <v>8</v>
      </c>
      <c r="AC231" s="7"/>
      <c r="AD231" s="7"/>
      <c r="AE231" s="7"/>
      <c r="AF231" s="7"/>
      <c r="AG231" s="7"/>
      <c r="AH231" s="7"/>
      <c r="AI231" s="7"/>
      <c r="AJ231" s="62"/>
      <c r="AK231" s="7">
        <v>1000000</v>
      </c>
      <c r="AL231" s="33"/>
      <c r="AM231" s="33">
        <f t="shared" si="214"/>
        <v>1000000</v>
      </c>
      <c r="AN231" s="33">
        <v>0</v>
      </c>
      <c r="AO231" s="7">
        <v>0</v>
      </c>
      <c r="AP231" s="7">
        <f>AN231+AO231</f>
        <v>0</v>
      </c>
      <c r="AQ231" s="7"/>
      <c r="AR231" s="7"/>
      <c r="AS231" s="7">
        <f t="shared" si="228"/>
        <v>0</v>
      </c>
      <c r="AT231" s="7"/>
      <c r="AU231" s="7"/>
      <c r="AV231" s="7">
        <f t="shared" si="229"/>
        <v>0</v>
      </c>
      <c r="AW231" s="7"/>
      <c r="AX231" s="7"/>
      <c r="AY231" s="7">
        <f t="shared" si="230"/>
        <v>0</v>
      </c>
      <c r="AZ231" s="7"/>
      <c r="BA231" s="7"/>
      <c r="BB231" s="7">
        <f>AZ231+BA231</f>
        <v>0</v>
      </c>
      <c r="BC231" s="7"/>
      <c r="BD231" s="7"/>
      <c r="BE231" s="7">
        <f t="shared" si="254"/>
        <v>0</v>
      </c>
      <c r="BF231" s="7"/>
      <c r="BG231" s="7"/>
      <c r="BH231" s="7">
        <f t="shared" si="255"/>
        <v>0</v>
      </c>
      <c r="BI231" s="7"/>
      <c r="BJ231" s="7"/>
      <c r="BK231" s="7">
        <f t="shared" si="256"/>
        <v>0</v>
      </c>
      <c r="BL231" s="7"/>
      <c r="BM231" s="7"/>
      <c r="BN231" s="7">
        <f t="shared" si="257"/>
        <v>0</v>
      </c>
      <c r="BO231" s="7"/>
      <c r="BP231" s="7"/>
      <c r="BQ231" s="7">
        <f t="shared" si="258"/>
        <v>0</v>
      </c>
      <c r="BR231" s="7"/>
      <c r="BS231" s="7"/>
      <c r="BT231" s="7">
        <f t="shared" si="259"/>
        <v>0</v>
      </c>
      <c r="BU231" s="7"/>
      <c r="BV231" s="7"/>
      <c r="BW231" s="7">
        <f t="shared" si="260"/>
        <v>0</v>
      </c>
      <c r="BX231" s="7"/>
      <c r="BY231" s="7">
        <f t="shared" si="261"/>
        <v>0</v>
      </c>
      <c r="BZ231" s="7">
        <f t="shared" si="262"/>
        <v>0</v>
      </c>
      <c r="CA231" s="7"/>
      <c r="CB231" s="7">
        <f t="shared" si="263"/>
        <v>1000000</v>
      </c>
      <c r="CC231" s="7">
        <f t="shared" si="266"/>
        <v>1000000</v>
      </c>
      <c r="CD231" s="15">
        <f t="shared" si="264"/>
        <v>0</v>
      </c>
      <c r="CE231" s="15">
        <f t="shared" si="265"/>
        <v>0</v>
      </c>
      <c r="CF231" s="451" t="s">
        <v>846</v>
      </c>
      <c r="CG231" s="7">
        <v>1500000</v>
      </c>
      <c r="CH231" s="7">
        <v>0</v>
      </c>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c r="DK231" s="7"/>
      <c r="DL231" s="7"/>
      <c r="DM231" s="7"/>
      <c r="DN231" s="7"/>
      <c r="DO231" s="7"/>
      <c r="DP231" s="14"/>
      <c r="DQ231" s="14"/>
      <c r="DR231" s="7"/>
      <c r="DS231" s="7"/>
      <c r="DT231" s="7"/>
      <c r="DU231" s="15"/>
      <c r="DV231" s="15"/>
      <c r="DW231" s="15"/>
      <c r="DX231" s="15"/>
      <c r="DY231" s="7"/>
      <c r="DZ231" s="27"/>
      <c r="EA231" s="319"/>
    </row>
    <row r="232" spans="1:131" s="10" customFormat="1" ht="30.75" x14ac:dyDescent="0.25">
      <c r="A232" s="24" t="s">
        <v>83</v>
      </c>
      <c r="B232" s="12" t="s">
        <v>66</v>
      </c>
      <c r="C232" s="24" t="s">
        <v>653</v>
      </c>
      <c r="E232" s="3">
        <v>770005</v>
      </c>
      <c r="F232" s="353">
        <v>4</v>
      </c>
      <c r="G232" s="359" t="s">
        <v>187</v>
      </c>
      <c r="H232" s="353">
        <v>1552</v>
      </c>
      <c r="I232" s="9" t="s">
        <v>31</v>
      </c>
      <c r="J232" s="10" t="s">
        <v>1</v>
      </c>
      <c r="K232" s="3">
        <v>4</v>
      </c>
      <c r="L232" s="11" t="s">
        <v>187</v>
      </c>
      <c r="M232" s="45"/>
      <c r="N232" s="11" t="s">
        <v>186</v>
      </c>
      <c r="O232" s="11" t="s">
        <v>192</v>
      </c>
      <c r="P232" s="11" t="s">
        <v>187</v>
      </c>
      <c r="Q232" s="3" t="s">
        <v>187</v>
      </c>
      <c r="R232" s="3">
        <v>270</v>
      </c>
      <c r="S232" s="3" t="s">
        <v>188</v>
      </c>
      <c r="T232" s="12" t="s">
        <v>26</v>
      </c>
      <c r="U232" s="12" t="s">
        <v>222</v>
      </c>
      <c r="V232" s="12"/>
      <c r="W232" s="12" t="s">
        <v>2</v>
      </c>
      <c r="X232" s="8"/>
      <c r="Y232" s="25" t="s">
        <v>69</v>
      </c>
      <c r="Z232" s="25"/>
      <c r="AA232" s="10" t="s">
        <v>658</v>
      </c>
      <c r="AB232" s="12" t="s">
        <v>8</v>
      </c>
      <c r="AC232" s="7"/>
      <c r="AD232" s="7"/>
      <c r="AE232" s="7"/>
      <c r="AF232" s="7"/>
      <c r="AG232" s="7"/>
      <c r="AH232" s="7"/>
      <c r="AI232" s="7"/>
      <c r="AJ232" s="62"/>
      <c r="AK232" s="7">
        <v>300000</v>
      </c>
      <c r="AL232" s="33"/>
      <c r="AM232" s="33">
        <f t="shared" si="214"/>
        <v>300000</v>
      </c>
      <c r="AN232" s="33">
        <v>0</v>
      </c>
      <c r="AO232" s="7">
        <v>0</v>
      </c>
      <c r="AP232" s="7">
        <f>AN232+AO232</f>
        <v>0</v>
      </c>
      <c r="AQ232" s="7"/>
      <c r="AR232" s="7"/>
      <c r="AS232" s="7">
        <f t="shared" si="228"/>
        <v>0</v>
      </c>
      <c r="AT232" s="7"/>
      <c r="AU232" s="7"/>
      <c r="AV232" s="7">
        <f t="shared" si="229"/>
        <v>0</v>
      </c>
      <c r="AW232" s="7"/>
      <c r="AX232" s="7"/>
      <c r="AY232" s="7">
        <f t="shared" si="230"/>
        <v>0</v>
      </c>
      <c r="AZ232" s="7"/>
      <c r="BA232" s="7"/>
      <c r="BB232" s="7">
        <f t="shared" ref="BB232:BB241" si="267">AZ232+BA232</f>
        <v>0</v>
      </c>
      <c r="BC232" s="7"/>
      <c r="BD232" s="7"/>
      <c r="BE232" s="7">
        <f t="shared" si="254"/>
        <v>0</v>
      </c>
      <c r="BF232" s="7"/>
      <c r="BG232" s="7"/>
      <c r="BH232" s="7">
        <f t="shared" si="255"/>
        <v>0</v>
      </c>
      <c r="BI232" s="7"/>
      <c r="BJ232" s="7"/>
      <c r="BK232" s="7">
        <f t="shared" si="256"/>
        <v>0</v>
      </c>
      <c r="BL232" s="7"/>
      <c r="BM232" s="7"/>
      <c r="BN232" s="7">
        <f t="shared" si="257"/>
        <v>0</v>
      </c>
      <c r="BO232" s="7"/>
      <c r="BP232" s="7"/>
      <c r="BQ232" s="7">
        <f t="shared" si="258"/>
        <v>0</v>
      </c>
      <c r="BR232" s="7"/>
      <c r="BS232" s="7"/>
      <c r="BT232" s="7">
        <f t="shared" si="259"/>
        <v>0</v>
      </c>
      <c r="BU232" s="7"/>
      <c r="BV232" s="7"/>
      <c r="BW232" s="7">
        <f t="shared" si="260"/>
        <v>0</v>
      </c>
      <c r="BX232" s="7"/>
      <c r="BY232" s="7">
        <f t="shared" si="261"/>
        <v>0</v>
      </c>
      <c r="BZ232" s="7">
        <f t="shared" si="262"/>
        <v>0</v>
      </c>
      <c r="CA232" s="7"/>
      <c r="CB232" s="7">
        <f t="shared" si="263"/>
        <v>300000</v>
      </c>
      <c r="CC232" s="7">
        <f t="shared" si="266"/>
        <v>300000</v>
      </c>
      <c r="CD232" s="15">
        <f t="shared" si="264"/>
        <v>0</v>
      </c>
      <c r="CE232" s="15">
        <f t="shared" si="265"/>
        <v>0</v>
      </c>
      <c r="CF232" s="451" t="s">
        <v>846</v>
      </c>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c r="DK232" s="7"/>
      <c r="DL232" s="7"/>
      <c r="DM232" s="7"/>
      <c r="DN232" s="7"/>
      <c r="DO232" s="7"/>
      <c r="DP232" s="14"/>
      <c r="DQ232" s="14"/>
      <c r="DR232" s="7"/>
      <c r="DS232" s="7"/>
      <c r="DT232" s="7"/>
      <c r="DU232" s="15"/>
      <c r="DV232" s="15"/>
      <c r="DW232" s="15"/>
      <c r="DX232" s="15"/>
      <c r="DY232" s="7"/>
      <c r="DZ232" s="27"/>
      <c r="EA232" s="319"/>
    </row>
    <row r="233" spans="1:131" s="10" customFormat="1" x14ac:dyDescent="0.25">
      <c r="A233" s="24" t="s">
        <v>83</v>
      </c>
      <c r="B233" s="12" t="s">
        <v>66</v>
      </c>
      <c r="C233" s="8" t="s">
        <v>626</v>
      </c>
      <c r="E233" s="3">
        <v>770005</v>
      </c>
      <c r="F233" s="353">
        <v>5</v>
      </c>
      <c r="G233" s="359" t="s">
        <v>186</v>
      </c>
      <c r="H233" s="353">
        <v>1510</v>
      </c>
      <c r="I233" s="9" t="s">
        <v>246</v>
      </c>
      <c r="J233" s="10" t="s">
        <v>75</v>
      </c>
      <c r="K233" s="3">
        <v>4</v>
      </c>
      <c r="L233" s="11" t="s">
        <v>187</v>
      </c>
      <c r="M233" s="45"/>
      <c r="N233" s="11" t="s">
        <v>186</v>
      </c>
      <c r="O233" s="11" t="s">
        <v>189</v>
      </c>
      <c r="P233" s="11" t="s">
        <v>187</v>
      </c>
      <c r="Q233" s="11" t="s">
        <v>187</v>
      </c>
      <c r="R233" s="3">
        <v>270</v>
      </c>
      <c r="S233" s="11" t="s">
        <v>188</v>
      </c>
      <c r="T233" s="12" t="s">
        <v>26</v>
      </c>
      <c r="U233" s="12" t="s">
        <v>222</v>
      </c>
      <c r="V233" s="12"/>
      <c r="W233" s="12" t="s">
        <v>5</v>
      </c>
      <c r="X233" s="8"/>
      <c r="Y233" s="25" t="s">
        <v>100</v>
      </c>
      <c r="Z233" s="3" t="s">
        <v>92</v>
      </c>
      <c r="AA233" s="336" t="s">
        <v>436</v>
      </c>
      <c r="AB233" s="12" t="s">
        <v>8</v>
      </c>
      <c r="AC233" s="7"/>
      <c r="AD233" s="7"/>
      <c r="AE233" s="7"/>
      <c r="AF233" s="7"/>
      <c r="AG233" s="7"/>
      <c r="AH233" s="7"/>
      <c r="AI233" s="7"/>
      <c r="AJ233" s="62"/>
      <c r="AK233" s="7"/>
      <c r="AL233" s="7">
        <v>1700000</v>
      </c>
      <c r="AM233" s="33">
        <f t="shared" si="214"/>
        <v>1700000</v>
      </c>
      <c r="AN233" s="33"/>
      <c r="AO233" s="7"/>
      <c r="AP233" s="7">
        <f t="shared" ref="AP233:AP240" si="268">AN233+AO233</f>
        <v>0</v>
      </c>
      <c r="AQ233" s="7"/>
      <c r="AR233" s="7"/>
      <c r="AS233" s="7">
        <f t="shared" si="228"/>
        <v>0</v>
      </c>
      <c r="AT233" s="7"/>
      <c r="AU233" s="7"/>
      <c r="AV233" s="7">
        <f t="shared" si="229"/>
        <v>0</v>
      </c>
      <c r="AW233" s="7"/>
      <c r="AX233" s="7"/>
      <c r="AY233" s="7">
        <f t="shared" si="230"/>
        <v>0</v>
      </c>
      <c r="AZ233" s="7"/>
      <c r="BA233" s="7"/>
      <c r="BB233" s="7"/>
      <c r="BC233" s="7"/>
      <c r="BD233" s="7"/>
      <c r="BE233" s="7"/>
      <c r="BF233" s="7"/>
      <c r="BG233" s="7"/>
      <c r="BH233" s="7"/>
      <c r="BI233" s="7"/>
      <c r="BJ233" s="7"/>
      <c r="BK233" s="7"/>
      <c r="BL233" s="7"/>
      <c r="BM233" s="7"/>
      <c r="BN233" s="7"/>
      <c r="BO233" s="7"/>
      <c r="BP233" s="7"/>
      <c r="BQ233" s="7"/>
      <c r="BR233" s="7"/>
      <c r="BS233" s="7"/>
      <c r="BT233" s="7"/>
      <c r="BU233" s="7"/>
      <c r="BV233" s="7"/>
      <c r="BW233" s="7"/>
      <c r="BX233" s="7"/>
      <c r="BY233" s="7">
        <f t="shared" si="261"/>
        <v>0</v>
      </c>
      <c r="BZ233" s="7">
        <f t="shared" si="262"/>
        <v>0</v>
      </c>
      <c r="CA233" s="7"/>
      <c r="CB233" s="7">
        <f t="shared" si="263"/>
        <v>1700000</v>
      </c>
      <c r="CC233" s="7">
        <f t="shared" si="266"/>
        <v>1700000</v>
      </c>
      <c r="CD233" s="15">
        <f t="shared" si="264"/>
        <v>0</v>
      </c>
      <c r="CE233" s="15">
        <f t="shared" si="265"/>
        <v>0</v>
      </c>
      <c r="CF233" s="451" t="s">
        <v>893</v>
      </c>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c r="DJ233" s="7"/>
      <c r="DK233" s="7"/>
      <c r="DL233" s="7"/>
      <c r="DM233" s="7"/>
      <c r="DN233" s="7"/>
      <c r="DO233" s="7"/>
      <c r="DP233" s="14"/>
      <c r="DQ233" s="14"/>
      <c r="DR233" s="7"/>
      <c r="DS233" s="7"/>
      <c r="DT233" s="7"/>
      <c r="DU233" s="15"/>
      <c r="DV233" s="15"/>
      <c r="DW233" s="15"/>
      <c r="DX233" s="15"/>
      <c r="DY233" s="7"/>
      <c r="DZ233" s="27"/>
      <c r="EA233" s="319"/>
    </row>
    <row r="234" spans="1:131" s="10" customFormat="1" x14ac:dyDescent="0.25">
      <c r="A234" s="24" t="s">
        <v>83</v>
      </c>
      <c r="B234" s="12"/>
      <c r="C234" s="24" t="s">
        <v>657</v>
      </c>
      <c r="E234" s="3">
        <v>770005</v>
      </c>
      <c r="F234" s="353">
        <v>6</v>
      </c>
      <c r="G234" s="359" t="s">
        <v>187</v>
      </c>
      <c r="H234" s="353">
        <v>1527</v>
      </c>
      <c r="I234" s="9" t="s">
        <v>1</v>
      </c>
      <c r="J234" s="10" t="s">
        <v>1</v>
      </c>
      <c r="K234" s="3"/>
      <c r="L234" s="11"/>
      <c r="M234" s="45"/>
      <c r="N234" s="3" t="s">
        <v>186</v>
      </c>
      <c r="O234" s="3" t="s">
        <v>192</v>
      </c>
      <c r="P234" s="3" t="s">
        <v>187</v>
      </c>
      <c r="Q234" s="3" t="s">
        <v>187</v>
      </c>
      <c r="R234" s="3">
        <v>271</v>
      </c>
      <c r="S234" s="11" t="s">
        <v>259</v>
      </c>
      <c r="T234" s="12" t="s">
        <v>260</v>
      </c>
      <c r="U234" s="12" t="s">
        <v>222</v>
      </c>
      <c r="V234" s="12"/>
      <c r="W234" s="12"/>
      <c r="X234" s="8"/>
      <c r="Y234" s="25"/>
      <c r="Z234" s="3"/>
      <c r="AA234" s="252" t="s">
        <v>730</v>
      </c>
      <c r="AB234" s="12" t="s">
        <v>697</v>
      </c>
      <c r="AC234" s="7"/>
      <c r="AD234" s="7"/>
      <c r="AE234" s="7"/>
      <c r="AF234" s="7"/>
      <c r="AG234" s="7"/>
      <c r="AH234" s="7"/>
      <c r="AI234" s="7"/>
      <c r="AJ234" s="62"/>
      <c r="AK234" s="7"/>
      <c r="AL234" s="33">
        <v>668126</v>
      </c>
      <c r="AM234" s="33">
        <f t="shared" si="214"/>
        <v>668126</v>
      </c>
      <c r="AN234" s="33"/>
      <c r="AO234" s="7"/>
      <c r="AP234" s="7">
        <f t="shared" si="268"/>
        <v>0</v>
      </c>
      <c r="AQ234" s="7"/>
      <c r="AR234" s="7"/>
      <c r="AS234" s="7">
        <f t="shared" si="228"/>
        <v>0</v>
      </c>
      <c r="AT234" s="7"/>
      <c r="AU234" s="7"/>
      <c r="AV234" s="7">
        <f t="shared" si="229"/>
        <v>0</v>
      </c>
      <c r="AW234" s="7"/>
      <c r="AX234" s="7"/>
      <c r="AY234" s="7">
        <f t="shared" si="230"/>
        <v>0</v>
      </c>
      <c r="AZ234" s="7"/>
      <c r="BA234" s="7"/>
      <c r="BB234" s="7"/>
      <c r="BC234" s="7"/>
      <c r="BD234" s="7"/>
      <c r="BE234" s="7"/>
      <c r="BF234" s="7"/>
      <c r="BG234" s="7"/>
      <c r="BH234" s="7"/>
      <c r="BI234" s="7"/>
      <c r="BJ234" s="7"/>
      <c r="BK234" s="7"/>
      <c r="BL234" s="7"/>
      <c r="BM234" s="7"/>
      <c r="BN234" s="7"/>
      <c r="BO234" s="7"/>
      <c r="BP234" s="7"/>
      <c r="BQ234" s="7"/>
      <c r="BR234" s="7"/>
      <c r="BS234" s="7"/>
      <c r="BT234" s="7"/>
      <c r="BU234" s="7"/>
      <c r="BV234" s="7"/>
      <c r="BW234" s="7"/>
      <c r="BX234" s="7"/>
      <c r="BY234" s="7">
        <f t="shared" si="261"/>
        <v>0</v>
      </c>
      <c r="BZ234" s="7">
        <f t="shared" si="262"/>
        <v>0</v>
      </c>
      <c r="CA234" s="7"/>
      <c r="CB234" s="7">
        <f t="shared" si="263"/>
        <v>668126</v>
      </c>
      <c r="CC234" s="7">
        <f t="shared" si="266"/>
        <v>668126</v>
      </c>
      <c r="CD234" s="15">
        <f t="shared" si="264"/>
        <v>0</v>
      </c>
      <c r="CE234" s="15">
        <f t="shared" si="265"/>
        <v>0</v>
      </c>
      <c r="CF234" s="451" t="s">
        <v>846</v>
      </c>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c r="DJ234" s="7"/>
      <c r="DK234" s="7"/>
      <c r="DL234" s="7"/>
      <c r="DM234" s="7"/>
      <c r="DN234" s="7"/>
      <c r="DO234" s="7"/>
      <c r="DP234" s="14"/>
      <c r="DQ234" s="14"/>
      <c r="DR234" s="7"/>
      <c r="DS234" s="7"/>
      <c r="DT234" s="7"/>
      <c r="DU234" s="15"/>
      <c r="DV234" s="15"/>
      <c r="DW234" s="15"/>
      <c r="DX234" s="15"/>
      <c r="DY234" s="7"/>
      <c r="DZ234" s="27"/>
      <c r="EA234" s="319"/>
    </row>
    <row r="235" spans="1:131" s="10" customFormat="1" x14ac:dyDescent="0.25">
      <c r="A235" s="24" t="s">
        <v>83</v>
      </c>
      <c r="B235" s="12"/>
      <c r="C235" s="24" t="s">
        <v>642</v>
      </c>
      <c r="E235" s="3">
        <v>770010</v>
      </c>
      <c r="F235" s="353">
        <v>6</v>
      </c>
      <c r="G235" s="359" t="s">
        <v>187</v>
      </c>
      <c r="H235" s="353">
        <v>1533</v>
      </c>
      <c r="I235" s="9" t="s">
        <v>1</v>
      </c>
      <c r="J235" s="10" t="s">
        <v>1</v>
      </c>
      <c r="K235" s="3"/>
      <c r="L235" s="11"/>
      <c r="M235" s="45"/>
      <c r="N235" s="3" t="s">
        <v>186</v>
      </c>
      <c r="O235" s="3" t="s">
        <v>192</v>
      </c>
      <c r="P235" s="3" t="s">
        <v>187</v>
      </c>
      <c r="Q235" s="3" t="s">
        <v>187</v>
      </c>
      <c r="R235" s="3">
        <v>100</v>
      </c>
      <c r="S235" s="11" t="s">
        <v>259</v>
      </c>
      <c r="T235" s="12" t="s">
        <v>129</v>
      </c>
      <c r="U235" s="12" t="s">
        <v>222</v>
      </c>
      <c r="V235" s="12"/>
      <c r="W235" s="12" t="s">
        <v>2</v>
      </c>
      <c r="X235" s="8" t="s">
        <v>6</v>
      </c>
      <c r="Y235" s="25" t="s">
        <v>69</v>
      </c>
      <c r="Z235" s="25" t="s">
        <v>92</v>
      </c>
      <c r="AA235" s="252" t="s">
        <v>736</v>
      </c>
      <c r="AB235" s="12" t="s">
        <v>697</v>
      </c>
      <c r="AC235" s="7"/>
      <c r="AD235" s="7"/>
      <c r="AE235" s="7"/>
      <c r="AF235" s="7"/>
      <c r="AG235" s="7"/>
      <c r="AH235" s="7"/>
      <c r="AI235" s="7"/>
      <c r="AJ235" s="62"/>
      <c r="AK235" s="7"/>
      <c r="AL235" s="33">
        <v>8804587</v>
      </c>
      <c r="AM235" s="33">
        <f t="shared" si="214"/>
        <v>8804587</v>
      </c>
      <c r="AN235" s="33"/>
      <c r="AO235" s="7"/>
      <c r="AP235" s="7">
        <f t="shared" si="268"/>
        <v>0</v>
      </c>
      <c r="AQ235" s="7"/>
      <c r="AR235" s="7"/>
      <c r="AS235" s="7">
        <f t="shared" si="228"/>
        <v>0</v>
      </c>
      <c r="AT235" s="7"/>
      <c r="AU235" s="7"/>
      <c r="AV235" s="7">
        <f t="shared" si="229"/>
        <v>0</v>
      </c>
      <c r="AW235" s="7"/>
      <c r="AX235" s="7"/>
      <c r="AY235" s="7">
        <f t="shared" si="230"/>
        <v>0</v>
      </c>
      <c r="AZ235" s="7"/>
      <c r="BA235" s="7"/>
      <c r="BB235" s="7"/>
      <c r="BC235" s="7"/>
      <c r="BD235" s="7"/>
      <c r="BE235" s="7"/>
      <c r="BF235" s="7"/>
      <c r="BG235" s="7"/>
      <c r="BH235" s="7"/>
      <c r="BI235" s="7"/>
      <c r="BJ235" s="7"/>
      <c r="BK235" s="7"/>
      <c r="BL235" s="7"/>
      <c r="BM235" s="7"/>
      <c r="BN235" s="7"/>
      <c r="BO235" s="7"/>
      <c r="BP235" s="7"/>
      <c r="BQ235" s="7"/>
      <c r="BR235" s="7"/>
      <c r="BS235" s="7"/>
      <c r="BT235" s="7"/>
      <c r="BU235" s="7"/>
      <c r="BV235" s="7"/>
      <c r="BW235" s="7"/>
      <c r="BX235" s="7"/>
      <c r="BY235" s="7">
        <f t="shared" si="261"/>
        <v>0</v>
      </c>
      <c r="BZ235" s="7">
        <f t="shared" si="262"/>
        <v>0</v>
      </c>
      <c r="CA235" s="7"/>
      <c r="CB235" s="7">
        <f t="shared" si="263"/>
        <v>8804587</v>
      </c>
      <c r="CC235" s="7">
        <f t="shared" si="266"/>
        <v>8804587</v>
      </c>
      <c r="CD235" s="15">
        <f t="shared" si="264"/>
        <v>0</v>
      </c>
      <c r="CE235" s="15">
        <f t="shared" si="265"/>
        <v>0</v>
      </c>
      <c r="CF235" s="451" t="s">
        <v>847</v>
      </c>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c r="DJ235" s="7"/>
      <c r="DK235" s="7"/>
      <c r="DL235" s="7"/>
      <c r="DM235" s="7"/>
      <c r="DN235" s="7"/>
      <c r="DO235" s="7"/>
      <c r="DP235" s="14"/>
      <c r="DQ235" s="14"/>
      <c r="DR235" s="7"/>
      <c r="DS235" s="7"/>
      <c r="DT235" s="7"/>
      <c r="DU235" s="15"/>
      <c r="DV235" s="15"/>
      <c r="DW235" s="15"/>
      <c r="DX235" s="15"/>
      <c r="DY235" s="7"/>
      <c r="DZ235" s="27"/>
      <c r="EA235" s="319"/>
    </row>
    <row r="236" spans="1:131" s="10" customFormat="1" ht="45.75" x14ac:dyDescent="0.25">
      <c r="A236" s="24" t="s">
        <v>83</v>
      </c>
      <c r="B236" s="12"/>
      <c r="C236" s="24" t="s">
        <v>244</v>
      </c>
      <c r="E236" s="3">
        <v>770030</v>
      </c>
      <c r="F236" s="353">
        <v>6</v>
      </c>
      <c r="G236" s="359" t="s">
        <v>187</v>
      </c>
      <c r="H236" s="353">
        <v>1528</v>
      </c>
      <c r="I236" s="9" t="s">
        <v>1</v>
      </c>
      <c r="J236" s="10" t="s">
        <v>1</v>
      </c>
      <c r="K236" s="3"/>
      <c r="L236" s="11"/>
      <c r="M236" s="45"/>
      <c r="N236" s="3" t="s">
        <v>186</v>
      </c>
      <c r="O236" s="3" t="s">
        <v>192</v>
      </c>
      <c r="P236" s="3" t="s">
        <v>187</v>
      </c>
      <c r="Q236" s="3" t="s">
        <v>187</v>
      </c>
      <c r="R236" s="3">
        <v>100</v>
      </c>
      <c r="S236" s="11" t="s">
        <v>259</v>
      </c>
      <c r="T236" s="12" t="s">
        <v>129</v>
      </c>
      <c r="U236" s="12" t="s">
        <v>222</v>
      </c>
      <c r="V236" s="12"/>
      <c r="W236" s="12"/>
      <c r="X236" s="8"/>
      <c r="Y236" s="25"/>
      <c r="Z236" s="3"/>
      <c r="AA236" s="252" t="s">
        <v>731</v>
      </c>
      <c r="AB236" s="12" t="s">
        <v>697</v>
      </c>
      <c r="AC236" s="7"/>
      <c r="AD236" s="7"/>
      <c r="AE236" s="7"/>
      <c r="AF236" s="7"/>
      <c r="AG236" s="7"/>
      <c r="AH236" s="7"/>
      <c r="AI236" s="7"/>
      <c r="AJ236" s="62"/>
      <c r="AK236" s="7"/>
      <c r="AL236" s="33">
        <v>1774658</v>
      </c>
      <c r="AM236" s="33">
        <f t="shared" si="214"/>
        <v>1774658</v>
      </c>
      <c r="AN236" s="33"/>
      <c r="AO236" s="7"/>
      <c r="AP236" s="7">
        <f t="shared" si="268"/>
        <v>0</v>
      </c>
      <c r="AQ236" s="7"/>
      <c r="AR236" s="7"/>
      <c r="AS236" s="7">
        <f t="shared" si="228"/>
        <v>0</v>
      </c>
      <c r="AT236" s="7">
        <v>1488773.47</v>
      </c>
      <c r="AU236" s="7"/>
      <c r="AV236" s="7">
        <f t="shared" si="229"/>
        <v>1488773.47</v>
      </c>
      <c r="AW236" s="7"/>
      <c r="AX236" s="7"/>
      <c r="AY236" s="7">
        <f t="shared" si="230"/>
        <v>0</v>
      </c>
      <c r="AZ236" s="7"/>
      <c r="BA236" s="7"/>
      <c r="BB236" s="7"/>
      <c r="BC236" s="7"/>
      <c r="BD236" s="7"/>
      <c r="BE236" s="7"/>
      <c r="BF236" s="7"/>
      <c r="BG236" s="7"/>
      <c r="BH236" s="7"/>
      <c r="BI236" s="7"/>
      <c r="BJ236" s="7"/>
      <c r="BK236" s="7"/>
      <c r="BL236" s="7"/>
      <c r="BM236" s="7"/>
      <c r="BN236" s="7"/>
      <c r="BO236" s="7"/>
      <c r="BP236" s="7"/>
      <c r="BQ236" s="7"/>
      <c r="BR236" s="7"/>
      <c r="BS236" s="7"/>
      <c r="BT236" s="7"/>
      <c r="BU236" s="7"/>
      <c r="BV236" s="7"/>
      <c r="BW236" s="7"/>
      <c r="BX236" s="7"/>
      <c r="BY236" s="7">
        <f t="shared" si="261"/>
        <v>1488773.47</v>
      </c>
      <c r="BZ236" s="7">
        <f t="shared" si="262"/>
        <v>1488773.47</v>
      </c>
      <c r="CA236" s="7"/>
      <c r="CB236" s="7">
        <f t="shared" si="263"/>
        <v>285884.53000000003</v>
      </c>
      <c r="CC236" s="7">
        <f t="shared" si="266"/>
        <v>285884.53000000003</v>
      </c>
      <c r="CD236" s="15">
        <f t="shared" si="264"/>
        <v>0.83890725424278934</v>
      </c>
      <c r="CE236" s="15">
        <f t="shared" si="265"/>
        <v>0.83890725424278934</v>
      </c>
      <c r="CF236" s="451" t="s">
        <v>788</v>
      </c>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c r="DL236" s="7"/>
      <c r="DM236" s="7"/>
      <c r="DN236" s="7"/>
      <c r="DO236" s="7"/>
      <c r="DP236" s="14"/>
      <c r="DQ236" s="14"/>
      <c r="DR236" s="7"/>
      <c r="DS236" s="7"/>
      <c r="DT236" s="7"/>
      <c r="DU236" s="15"/>
      <c r="DV236" s="15"/>
      <c r="DW236" s="15"/>
      <c r="DX236" s="15"/>
      <c r="DY236" s="7"/>
      <c r="DZ236" s="27"/>
      <c r="EA236" s="319"/>
    </row>
    <row r="237" spans="1:131" s="10" customFormat="1" x14ac:dyDescent="0.25">
      <c r="A237" s="24" t="s">
        <v>83</v>
      </c>
      <c r="B237" s="12"/>
      <c r="C237" s="24" t="s">
        <v>244</v>
      </c>
      <c r="E237" s="3">
        <v>770030</v>
      </c>
      <c r="F237" s="353">
        <v>6</v>
      </c>
      <c r="G237" s="359" t="s">
        <v>187</v>
      </c>
      <c r="H237" s="353">
        <v>1529</v>
      </c>
      <c r="I237" s="9" t="s">
        <v>1</v>
      </c>
      <c r="J237" s="10" t="s">
        <v>1</v>
      </c>
      <c r="K237" s="3"/>
      <c r="L237" s="11"/>
      <c r="M237" s="45"/>
      <c r="N237" s="3" t="s">
        <v>186</v>
      </c>
      <c r="O237" s="3" t="s">
        <v>192</v>
      </c>
      <c r="P237" s="3" t="s">
        <v>187</v>
      </c>
      <c r="Q237" s="3" t="s">
        <v>187</v>
      </c>
      <c r="R237" s="3">
        <v>100</v>
      </c>
      <c r="S237" s="11" t="s">
        <v>259</v>
      </c>
      <c r="T237" s="12" t="s">
        <v>129</v>
      </c>
      <c r="U237" s="12" t="s">
        <v>222</v>
      </c>
      <c r="V237" s="12"/>
      <c r="W237" s="12"/>
      <c r="X237" s="8"/>
      <c r="Y237" s="25"/>
      <c r="Z237" s="3"/>
      <c r="AA237" s="252" t="s">
        <v>732</v>
      </c>
      <c r="AB237" s="12" t="s">
        <v>697</v>
      </c>
      <c r="AC237" s="7"/>
      <c r="AD237" s="7"/>
      <c r="AE237" s="7"/>
      <c r="AF237" s="7"/>
      <c r="AG237" s="7"/>
      <c r="AH237" s="7"/>
      <c r="AI237" s="7"/>
      <c r="AJ237" s="62"/>
      <c r="AK237" s="7"/>
      <c r="AL237" s="33">
        <v>2000000</v>
      </c>
      <c r="AM237" s="33">
        <f t="shared" si="214"/>
        <v>2000000</v>
      </c>
      <c r="AN237" s="33"/>
      <c r="AO237" s="7"/>
      <c r="AP237" s="7">
        <f t="shared" si="268"/>
        <v>0</v>
      </c>
      <c r="AQ237" s="7"/>
      <c r="AR237" s="7"/>
      <c r="AS237" s="7">
        <f t="shared" si="228"/>
        <v>0</v>
      </c>
      <c r="AT237" s="7"/>
      <c r="AU237" s="7"/>
      <c r="AV237" s="7">
        <f t="shared" si="229"/>
        <v>0</v>
      </c>
      <c r="AW237" s="7"/>
      <c r="AX237" s="7"/>
      <c r="AY237" s="7">
        <f t="shared" si="230"/>
        <v>0</v>
      </c>
      <c r="AZ237" s="7"/>
      <c r="BA237" s="7"/>
      <c r="BB237" s="7"/>
      <c r="BC237" s="7"/>
      <c r="BD237" s="7"/>
      <c r="BE237" s="7"/>
      <c r="BF237" s="7"/>
      <c r="BG237" s="7"/>
      <c r="BH237" s="7"/>
      <c r="BI237" s="7"/>
      <c r="BJ237" s="7"/>
      <c r="BK237" s="7"/>
      <c r="BL237" s="7"/>
      <c r="BM237" s="7"/>
      <c r="BN237" s="7"/>
      <c r="BO237" s="7"/>
      <c r="BP237" s="7"/>
      <c r="BQ237" s="7"/>
      <c r="BR237" s="7"/>
      <c r="BS237" s="7"/>
      <c r="BT237" s="7"/>
      <c r="BU237" s="7"/>
      <c r="BV237" s="7"/>
      <c r="BW237" s="7"/>
      <c r="BX237" s="7"/>
      <c r="BY237" s="7">
        <f t="shared" si="261"/>
        <v>0</v>
      </c>
      <c r="BZ237" s="7">
        <f t="shared" si="262"/>
        <v>0</v>
      </c>
      <c r="CA237" s="7"/>
      <c r="CB237" s="7">
        <f t="shared" si="263"/>
        <v>2000000</v>
      </c>
      <c r="CC237" s="7">
        <f t="shared" si="266"/>
        <v>2000000</v>
      </c>
      <c r="CD237" s="15">
        <f t="shared" si="264"/>
        <v>0</v>
      </c>
      <c r="CE237" s="15">
        <f t="shared" si="265"/>
        <v>0</v>
      </c>
      <c r="CF237" s="451" t="s">
        <v>894</v>
      </c>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14"/>
      <c r="DQ237" s="14"/>
      <c r="DR237" s="7"/>
      <c r="DS237" s="7"/>
      <c r="DT237" s="7"/>
      <c r="DU237" s="15"/>
      <c r="DV237" s="15"/>
      <c r="DW237" s="15"/>
      <c r="DX237" s="15"/>
      <c r="DY237" s="7"/>
      <c r="DZ237" s="27"/>
      <c r="EA237" s="319"/>
    </row>
    <row r="238" spans="1:131" s="10" customFormat="1" x14ac:dyDescent="0.25">
      <c r="A238" s="24" t="s">
        <v>83</v>
      </c>
      <c r="B238" s="12"/>
      <c r="C238" s="24" t="s">
        <v>244</v>
      </c>
      <c r="E238" s="3">
        <v>770030</v>
      </c>
      <c r="F238" s="353">
        <v>6</v>
      </c>
      <c r="G238" s="359" t="s">
        <v>187</v>
      </c>
      <c r="H238" s="353">
        <v>1530</v>
      </c>
      <c r="I238" s="9" t="s">
        <v>1</v>
      </c>
      <c r="J238" s="10" t="s">
        <v>1</v>
      </c>
      <c r="K238" s="3"/>
      <c r="L238" s="11"/>
      <c r="M238" s="45"/>
      <c r="N238" s="3" t="s">
        <v>186</v>
      </c>
      <c r="O238" s="3" t="s">
        <v>192</v>
      </c>
      <c r="P238" s="3" t="s">
        <v>187</v>
      </c>
      <c r="Q238" s="3" t="s">
        <v>187</v>
      </c>
      <c r="R238" s="3">
        <v>100</v>
      </c>
      <c r="S238" s="11" t="s">
        <v>259</v>
      </c>
      <c r="T238" s="12" t="s">
        <v>129</v>
      </c>
      <c r="U238" s="12" t="s">
        <v>222</v>
      </c>
      <c r="V238" s="12"/>
      <c r="W238" s="12"/>
      <c r="X238" s="8"/>
      <c r="Y238" s="25"/>
      <c r="Z238" s="3"/>
      <c r="AA238" s="252" t="s">
        <v>733</v>
      </c>
      <c r="AB238" s="12" t="s">
        <v>697</v>
      </c>
      <c r="AC238" s="7"/>
      <c r="AD238" s="7"/>
      <c r="AE238" s="7"/>
      <c r="AF238" s="7"/>
      <c r="AG238" s="7"/>
      <c r="AH238" s="7"/>
      <c r="AI238" s="7"/>
      <c r="AJ238" s="62"/>
      <c r="AK238" s="7"/>
      <c r="AL238" s="33">
        <v>1268845</v>
      </c>
      <c r="AM238" s="33">
        <f t="shared" si="214"/>
        <v>1268845</v>
      </c>
      <c r="AN238" s="33"/>
      <c r="AO238" s="7"/>
      <c r="AP238" s="7">
        <f t="shared" si="268"/>
        <v>0</v>
      </c>
      <c r="AQ238" s="7"/>
      <c r="AR238" s="7"/>
      <c r="AS238" s="7">
        <f t="shared" si="228"/>
        <v>0</v>
      </c>
      <c r="AT238" s="7"/>
      <c r="AU238" s="7"/>
      <c r="AV238" s="7">
        <f t="shared" si="229"/>
        <v>0</v>
      </c>
      <c r="AW238" s="7">
        <v>3201.75</v>
      </c>
      <c r="AX238" s="7"/>
      <c r="AY238" s="7">
        <f t="shared" si="230"/>
        <v>3201.75</v>
      </c>
      <c r="AZ238" s="7"/>
      <c r="BA238" s="7"/>
      <c r="BB238" s="7"/>
      <c r="BC238" s="7"/>
      <c r="BD238" s="7"/>
      <c r="BE238" s="7"/>
      <c r="BF238" s="7"/>
      <c r="BG238" s="7"/>
      <c r="BH238" s="7"/>
      <c r="BI238" s="7"/>
      <c r="BJ238" s="7"/>
      <c r="BK238" s="7"/>
      <c r="BL238" s="7"/>
      <c r="BM238" s="7"/>
      <c r="BN238" s="7"/>
      <c r="BO238" s="7"/>
      <c r="BP238" s="7"/>
      <c r="BQ238" s="7"/>
      <c r="BR238" s="7"/>
      <c r="BS238" s="7"/>
      <c r="BT238" s="7"/>
      <c r="BU238" s="7"/>
      <c r="BV238" s="7"/>
      <c r="BW238" s="7"/>
      <c r="BX238" s="7"/>
      <c r="BY238" s="7">
        <f t="shared" si="261"/>
        <v>3201.75</v>
      </c>
      <c r="BZ238" s="7">
        <f t="shared" si="262"/>
        <v>3201.75</v>
      </c>
      <c r="CA238" s="7"/>
      <c r="CB238" s="7">
        <f t="shared" si="263"/>
        <v>1265643.25</v>
      </c>
      <c r="CC238" s="7">
        <f t="shared" si="266"/>
        <v>1265643.25</v>
      </c>
      <c r="CD238" s="15">
        <f t="shared" si="264"/>
        <v>2.5233578569486422E-3</v>
      </c>
      <c r="CE238" s="15">
        <f t="shared" si="265"/>
        <v>2.5233578569486422E-3</v>
      </c>
      <c r="CF238" s="451" t="s">
        <v>895</v>
      </c>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c r="DK238" s="7"/>
      <c r="DL238" s="7"/>
      <c r="DM238" s="7"/>
      <c r="DN238" s="7"/>
      <c r="DO238" s="7"/>
      <c r="DP238" s="14"/>
      <c r="DQ238" s="14"/>
      <c r="DR238" s="7"/>
      <c r="DS238" s="7"/>
      <c r="DT238" s="7"/>
      <c r="DU238" s="15"/>
      <c r="DV238" s="15"/>
      <c r="DW238" s="15"/>
      <c r="DX238" s="15"/>
      <c r="DY238" s="7"/>
      <c r="DZ238" s="27"/>
      <c r="EA238" s="319"/>
    </row>
    <row r="239" spans="1:131" s="10" customFormat="1" ht="30.75" x14ac:dyDescent="0.25">
      <c r="A239" s="24" t="s">
        <v>83</v>
      </c>
      <c r="B239" s="12"/>
      <c r="C239" s="24" t="s">
        <v>244</v>
      </c>
      <c r="E239" s="3">
        <v>770030</v>
      </c>
      <c r="F239" s="353">
        <v>6</v>
      </c>
      <c r="G239" s="359" t="s">
        <v>187</v>
      </c>
      <c r="H239" s="353">
        <v>1531</v>
      </c>
      <c r="I239" s="9" t="s">
        <v>1</v>
      </c>
      <c r="J239" s="10" t="s">
        <v>1</v>
      </c>
      <c r="K239" s="3"/>
      <c r="L239" s="11"/>
      <c r="M239" s="45"/>
      <c r="N239" s="3" t="s">
        <v>186</v>
      </c>
      <c r="O239" s="3" t="s">
        <v>192</v>
      </c>
      <c r="P239" s="3" t="s">
        <v>187</v>
      </c>
      <c r="Q239" s="3" t="s">
        <v>187</v>
      </c>
      <c r="R239" s="3">
        <v>100</v>
      </c>
      <c r="S239" s="11" t="s">
        <v>259</v>
      </c>
      <c r="T239" s="12" t="s">
        <v>129</v>
      </c>
      <c r="U239" s="12" t="s">
        <v>222</v>
      </c>
      <c r="V239" s="12"/>
      <c r="W239" s="12"/>
      <c r="X239" s="8"/>
      <c r="Y239" s="25"/>
      <c r="Z239" s="3"/>
      <c r="AA239" s="252" t="s">
        <v>734</v>
      </c>
      <c r="AB239" s="12" t="s">
        <v>697</v>
      </c>
      <c r="AC239" s="7"/>
      <c r="AD239" s="7"/>
      <c r="AE239" s="7"/>
      <c r="AF239" s="7"/>
      <c r="AG239" s="7"/>
      <c r="AH239" s="7"/>
      <c r="AI239" s="7"/>
      <c r="AJ239" s="62"/>
      <c r="AK239" s="7"/>
      <c r="AL239" s="33">
        <v>967405</v>
      </c>
      <c r="AM239" s="33">
        <f t="shared" si="214"/>
        <v>967405</v>
      </c>
      <c r="AN239" s="33"/>
      <c r="AO239" s="7"/>
      <c r="AP239" s="7">
        <f t="shared" si="268"/>
        <v>0</v>
      </c>
      <c r="AQ239" s="7"/>
      <c r="AR239" s="7"/>
      <c r="AS239" s="7">
        <f t="shared" si="228"/>
        <v>0</v>
      </c>
      <c r="AT239" s="7"/>
      <c r="AU239" s="7"/>
      <c r="AV239" s="7">
        <f t="shared" si="229"/>
        <v>0</v>
      </c>
      <c r="AW239" s="7"/>
      <c r="AX239" s="7"/>
      <c r="AY239" s="7">
        <f t="shared" si="230"/>
        <v>0</v>
      </c>
      <c r="AZ239" s="7"/>
      <c r="BA239" s="7"/>
      <c r="BB239" s="7"/>
      <c r="BC239" s="7"/>
      <c r="BD239" s="7"/>
      <c r="BE239" s="7"/>
      <c r="BF239" s="7"/>
      <c r="BG239" s="7"/>
      <c r="BH239" s="7"/>
      <c r="BI239" s="7"/>
      <c r="BJ239" s="7"/>
      <c r="BK239" s="7"/>
      <c r="BL239" s="7"/>
      <c r="BM239" s="7"/>
      <c r="BN239" s="7"/>
      <c r="BO239" s="7"/>
      <c r="BP239" s="7"/>
      <c r="BQ239" s="7"/>
      <c r="BR239" s="7"/>
      <c r="BS239" s="7"/>
      <c r="BT239" s="7"/>
      <c r="BU239" s="7"/>
      <c r="BV239" s="7"/>
      <c r="BW239" s="7"/>
      <c r="BX239" s="7"/>
      <c r="BY239" s="7">
        <f t="shared" si="261"/>
        <v>0</v>
      </c>
      <c r="BZ239" s="7">
        <f t="shared" si="262"/>
        <v>0</v>
      </c>
      <c r="CA239" s="7"/>
      <c r="CB239" s="7">
        <f t="shared" si="263"/>
        <v>967405</v>
      </c>
      <c r="CC239" s="7">
        <f t="shared" si="266"/>
        <v>967405</v>
      </c>
      <c r="CD239" s="15">
        <f t="shared" si="264"/>
        <v>0</v>
      </c>
      <c r="CE239" s="15">
        <f t="shared" si="265"/>
        <v>0</v>
      </c>
      <c r="CF239" s="451" t="s">
        <v>769</v>
      </c>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14"/>
      <c r="DQ239" s="14"/>
      <c r="DR239" s="7"/>
      <c r="DS239" s="7"/>
      <c r="DT239" s="7"/>
      <c r="DU239" s="15"/>
      <c r="DV239" s="15"/>
      <c r="DW239" s="15"/>
      <c r="DX239" s="15"/>
      <c r="DY239" s="7"/>
      <c r="DZ239" s="27"/>
      <c r="EA239" s="319"/>
    </row>
    <row r="240" spans="1:131" s="10" customFormat="1" x14ac:dyDescent="0.25">
      <c r="A240" s="24" t="s">
        <v>83</v>
      </c>
      <c r="B240" s="12"/>
      <c r="C240" s="24" t="s">
        <v>244</v>
      </c>
      <c r="E240" s="3">
        <v>770030</v>
      </c>
      <c r="F240" s="353">
        <v>6</v>
      </c>
      <c r="G240" s="359" t="s">
        <v>187</v>
      </c>
      <c r="H240" s="353">
        <v>1532</v>
      </c>
      <c r="I240" s="9" t="s">
        <v>1</v>
      </c>
      <c r="J240" s="10" t="s">
        <v>1</v>
      </c>
      <c r="K240" s="3"/>
      <c r="L240" s="11"/>
      <c r="M240" s="45"/>
      <c r="N240" s="3" t="s">
        <v>186</v>
      </c>
      <c r="O240" s="3" t="s">
        <v>192</v>
      </c>
      <c r="P240" s="3" t="s">
        <v>187</v>
      </c>
      <c r="Q240" s="3" t="s">
        <v>187</v>
      </c>
      <c r="R240" s="3">
        <v>100</v>
      </c>
      <c r="S240" s="11" t="s">
        <v>259</v>
      </c>
      <c r="T240" s="12" t="s">
        <v>129</v>
      </c>
      <c r="U240" s="12" t="s">
        <v>222</v>
      </c>
      <c r="V240" s="12"/>
      <c r="W240" s="12"/>
      <c r="X240" s="8"/>
      <c r="Y240" s="25"/>
      <c r="Z240" s="3"/>
      <c r="AA240" s="252" t="s">
        <v>735</v>
      </c>
      <c r="AB240" s="12" t="s">
        <v>697</v>
      </c>
      <c r="AC240" s="7"/>
      <c r="AD240" s="7"/>
      <c r="AE240" s="7"/>
      <c r="AF240" s="7"/>
      <c r="AG240" s="7"/>
      <c r="AH240" s="7"/>
      <c r="AI240" s="7"/>
      <c r="AJ240" s="62"/>
      <c r="AK240" s="7"/>
      <c r="AL240" s="33">
        <v>4000000</v>
      </c>
      <c r="AM240" s="33">
        <f t="shared" si="214"/>
        <v>4000000</v>
      </c>
      <c r="AN240" s="33"/>
      <c r="AO240" s="7"/>
      <c r="AP240" s="7">
        <f t="shared" si="268"/>
        <v>0</v>
      </c>
      <c r="AQ240" s="7"/>
      <c r="AR240" s="7"/>
      <c r="AS240" s="7">
        <f t="shared" si="228"/>
        <v>0</v>
      </c>
      <c r="AT240" s="7"/>
      <c r="AU240" s="7"/>
      <c r="AV240" s="7">
        <f t="shared" si="229"/>
        <v>0</v>
      </c>
      <c r="AW240" s="7"/>
      <c r="AX240" s="7"/>
      <c r="AY240" s="7">
        <f t="shared" si="230"/>
        <v>0</v>
      </c>
      <c r="AZ240" s="7"/>
      <c r="BA240" s="7"/>
      <c r="BB240" s="7"/>
      <c r="BC240" s="7"/>
      <c r="BD240" s="7"/>
      <c r="BE240" s="7"/>
      <c r="BF240" s="7"/>
      <c r="BG240" s="7"/>
      <c r="BH240" s="7"/>
      <c r="BI240" s="7"/>
      <c r="BJ240" s="7"/>
      <c r="BK240" s="7"/>
      <c r="BL240" s="7"/>
      <c r="BM240" s="7"/>
      <c r="BN240" s="7"/>
      <c r="BO240" s="7"/>
      <c r="BP240" s="7"/>
      <c r="BQ240" s="7"/>
      <c r="BR240" s="7"/>
      <c r="BS240" s="7"/>
      <c r="BT240" s="7"/>
      <c r="BU240" s="7"/>
      <c r="BV240" s="7"/>
      <c r="BW240" s="7"/>
      <c r="BX240" s="7"/>
      <c r="BY240" s="7">
        <f t="shared" si="261"/>
        <v>0</v>
      </c>
      <c r="BZ240" s="7">
        <f t="shared" si="262"/>
        <v>0</v>
      </c>
      <c r="CA240" s="7"/>
      <c r="CB240" s="7">
        <f t="shared" si="263"/>
        <v>4000000</v>
      </c>
      <c r="CC240" s="7">
        <f t="shared" si="266"/>
        <v>4000000</v>
      </c>
      <c r="CD240" s="15">
        <f t="shared" si="264"/>
        <v>0</v>
      </c>
      <c r="CE240" s="15">
        <f t="shared" si="265"/>
        <v>0</v>
      </c>
      <c r="CF240" s="451" t="s">
        <v>789</v>
      </c>
      <c r="CG240" s="7"/>
      <c r="CH240" s="7"/>
      <c r="CI240" s="7"/>
      <c r="CJ240" s="7"/>
      <c r="CK240" s="7"/>
      <c r="CL240" s="7"/>
      <c r="CM240" s="7"/>
      <c r="CN240" s="7"/>
      <c r="CO240" s="7"/>
      <c r="CP240" s="7"/>
      <c r="CQ240" s="7"/>
      <c r="CR240" s="7"/>
      <c r="CS240" s="7"/>
      <c r="CT240" s="7"/>
      <c r="CU240" s="7"/>
      <c r="CV240" s="7"/>
      <c r="CW240" s="7"/>
      <c r="CX240" s="7"/>
      <c r="CY240" s="7"/>
      <c r="CZ240" s="7"/>
      <c r="DA240" s="7"/>
      <c r="DB240" s="7"/>
      <c r="DC240" s="7"/>
      <c r="DD240" s="7"/>
      <c r="DE240" s="7"/>
      <c r="DF240" s="7"/>
      <c r="DG240" s="7"/>
      <c r="DH240" s="7"/>
      <c r="DI240" s="7"/>
      <c r="DJ240" s="7"/>
      <c r="DK240" s="7"/>
      <c r="DL240" s="7"/>
      <c r="DM240" s="7"/>
      <c r="DN240" s="7"/>
      <c r="DO240" s="7"/>
      <c r="DP240" s="14"/>
      <c r="DQ240" s="14"/>
      <c r="DR240" s="7"/>
      <c r="DS240" s="7"/>
      <c r="DT240" s="7"/>
      <c r="DU240" s="15"/>
      <c r="DV240" s="15"/>
      <c r="DW240" s="15"/>
      <c r="DX240" s="15"/>
      <c r="DY240" s="7"/>
      <c r="DZ240" s="27"/>
      <c r="EA240" s="319"/>
    </row>
    <row r="241" spans="1:131" s="10" customFormat="1" x14ac:dyDescent="0.25">
      <c r="A241" s="24" t="s">
        <v>83</v>
      </c>
      <c r="B241" s="12" t="s">
        <v>122</v>
      </c>
      <c r="C241" s="24" t="s">
        <v>244</v>
      </c>
      <c r="D241" s="10" t="s">
        <v>1</v>
      </c>
      <c r="E241" s="3">
        <v>770030</v>
      </c>
      <c r="F241" s="353">
        <v>4</v>
      </c>
      <c r="G241" s="353">
        <v>36</v>
      </c>
      <c r="H241" s="353">
        <v>1548</v>
      </c>
      <c r="I241" s="9" t="s">
        <v>1</v>
      </c>
      <c r="J241" s="10" t="s">
        <v>1</v>
      </c>
      <c r="K241" s="3">
        <v>4</v>
      </c>
      <c r="L241" s="3">
        <v>36</v>
      </c>
      <c r="M241" s="45"/>
      <c r="N241" s="3" t="s">
        <v>186</v>
      </c>
      <c r="O241" s="3" t="s">
        <v>192</v>
      </c>
      <c r="P241" s="3" t="s">
        <v>187</v>
      </c>
      <c r="Q241" s="3" t="s">
        <v>187</v>
      </c>
      <c r="R241" s="3">
        <v>100</v>
      </c>
      <c r="S241" s="3" t="s">
        <v>188</v>
      </c>
      <c r="T241" s="12" t="s">
        <v>129</v>
      </c>
      <c r="U241" s="12" t="s">
        <v>222</v>
      </c>
      <c r="V241" s="12"/>
      <c r="W241" s="12" t="s">
        <v>2</v>
      </c>
      <c r="X241" s="8" t="s">
        <v>6</v>
      </c>
      <c r="Y241" s="25" t="s">
        <v>69</v>
      </c>
      <c r="Z241" s="25" t="s">
        <v>143</v>
      </c>
      <c r="AA241" s="252" t="s">
        <v>120</v>
      </c>
      <c r="AB241" s="110" t="s">
        <v>37</v>
      </c>
      <c r="AC241" s="7">
        <v>0</v>
      </c>
      <c r="AD241" s="7"/>
      <c r="AE241" s="7">
        <f>AC241+AD241</f>
        <v>0</v>
      </c>
      <c r="AF241" s="7"/>
      <c r="AG241" s="7">
        <f t="shared" si="243"/>
        <v>0</v>
      </c>
      <c r="AH241" s="7"/>
      <c r="AI241" s="7">
        <f t="shared" si="244"/>
        <v>0</v>
      </c>
      <c r="AJ241" s="62"/>
      <c r="AK241" s="7">
        <f>10000000-5000000</f>
        <v>5000000</v>
      </c>
      <c r="AL241" s="33"/>
      <c r="AM241" s="33">
        <f t="shared" si="214"/>
        <v>5000000</v>
      </c>
      <c r="AN241" s="33">
        <v>0</v>
      </c>
      <c r="AO241" s="7">
        <v>0</v>
      </c>
      <c r="AP241" s="7">
        <f t="shared" si="227"/>
        <v>0</v>
      </c>
      <c r="AQ241" s="7">
        <v>3976.02</v>
      </c>
      <c r="AR241" s="7">
        <v>556.64</v>
      </c>
      <c r="AS241" s="7">
        <f t="shared" si="228"/>
        <v>4532.66</v>
      </c>
      <c r="AT241" s="7"/>
      <c r="AU241" s="7"/>
      <c r="AV241" s="7">
        <f t="shared" si="229"/>
        <v>0</v>
      </c>
      <c r="AW241" s="7"/>
      <c r="AX241" s="7"/>
      <c r="AY241" s="7">
        <f t="shared" si="230"/>
        <v>0</v>
      </c>
      <c r="AZ241" s="7"/>
      <c r="BA241" s="7"/>
      <c r="BB241" s="7">
        <f t="shared" si="267"/>
        <v>0</v>
      </c>
      <c r="BC241" s="7"/>
      <c r="BD241" s="7"/>
      <c r="BE241" s="7">
        <f t="shared" si="254"/>
        <v>0</v>
      </c>
      <c r="BF241" s="7"/>
      <c r="BG241" s="7"/>
      <c r="BH241" s="7">
        <f t="shared" si="255"/>
        <v>0</v>
      </c>
      <c r="BI241" s="7"/>
      <c r="BJ241" s="7"/>
      <c r="BK241" s="7">
        <f t="shared" si="256"/>
        <v>0</v>
      </c>
      <c r="BL241" s="7"/>
      <c r="BM241" s="7"/>
      <c r="BN241" s="7">
        <f t="shared" si="257"/>
        <v>0</v>
      </c>
      <c r="BO241" s="7"/>
      <c r="BP241" s="7"/>
      <c r="BQ241" s="7">
        <f t="shared" si="258"/>
        <v>0</v>
      </c>
      <c r="BR241" s="7"/>
      <c r="BS241" s="7"/>
      <c r="BT241" s="7">
        <f t="shared" si="259"/>
        <v>0</v>
      </c>
      <c r="BU241" s="7"/>
      <c r="BV241" s="7"/>
      <c r="BW241" s="7">
        <f t="shared" si="238"/>
        <v>0</v>
      </c>
      <c r="BX241" s="7"/>
      <c r="BY241" s="7">
        <f t="shared" si="261"/>
        <v>3976.02</v>
      </c>
      <c r="BZ241" s="7">
        <f t="shared" si="262"/>
        <v>4532.66</v>
      </c>
      <c r="CA241" s="7"/>
      <c r="CB241" s="7">
        <f t="shared" si="263"/>
        <v>4996023.9800000004</v>
      </c>
      <c r="CC241" s="7">
        <f t="shared" si="266"/>
        <v>4995467.34</v>
      </c>
      <c r="CD241" s="15">
        <f t="shared" si="264"/>
        <v>7.9520399999999998E-4</v>
      </c>
      <c r="CE241" s="15">
        <f t="shared" si="265"/>
        <v>9.0653199999999993E-4</v>
      </c>
      <c r="CF241" s="451" t="s">
        <v>846</v>
      </c>
      <c r="CG241" s="7">
        <v>5000000</v>
      </c>
      <c r="CH241" s="7">
        <v>5000000</v>
      </c>
      <c r="CI241" s="7"/>
      <c r="CJ241" s="7"/>
      <c r="CK241" s="7"/>
      <c r="CL241" s="7">
        <f>CK241</f>
        <v>0</v>
      </c>
      <c r="CM241" s="7"/>
      <c r="CN241" s="7">
        <f>CM241</f>
        <v>0</v>
      </c>
      <c r="CO241" s="7"/>
      <c r="CP241" s="7">
        <v>0</v>
      </c>
      <c r="CQ241" s="7">
        <f t="shared" si="245"/>
        <v>0</v>
      </c>
      <c r="CR241" s="7">
        <f>CK241+CM241+CO241</f>
        <v>0</v>
      </c>
      <c r="CS241" s="7">
        <f>CL241+CN241+CQ241</f>
        <v>0</v>
      </c>
      <c r="CT241" s="7"/>
      <c r="CU241" s="7"/>
      <c r="CV241" s="7">
        <f>CT241+CU241</f>
        <v>0</v>
      </c>
      <c r="CW241" s="7"/>
      <c r="CX241" s="7"/>
      <c r="CY241" s="7">
        <f t="shared" si="246"/>
        <v>0</v>
      </c>
      <c r="CZ241" s="7"/>
      <c r="DA241" s="7"/>
      <c r="DB241" s="7">
        <f t="shared" si="247"/>
        <v>0</v>
      </c>
      <c r="DC241" s="7"/>
      <c r="DD241" s="7">
        <f>DC241</f>
        <v>0</v>
      </c>
      <c r="DE241" s="7"/>
      <c r="DF241" s="7">
        <f>DE241</f>
        <v>0</v>
      </c>
      <c r="DG241" s="7"/>
      <c r="DH241" s="7">
        <f>DG241</f>
        <v>0</v>
      </c>
      <c r="DI241" s="7"/>
      <c r="DJ241" s="7">
        <f>DI241</f>
        <v>0</v>
      </c>
      <c r="DK241" s="7"/>
      <c r="DL241" s="7">
        <f>DK241</f>
        <v>0</v>
      </c>
      <c r="DM241" s="7"/>
      <c r="DN241" s="7">
        <f>DM241</f>
        <v>0</v>
      </c>
      <c r="DO241" s="7"/>
      <c r="DP241" s="14">
        <f t="shared" si="248"/>
        <v>0</v>
      </c>
      <c r="DQ241" s="14">
        <f t="shared" si="249"/>
        <v>0</v>
      </c>
      <c r="DR241" s="7"/>
      <c r="DS241" s="7">
        <f t="shared" si="250"/>
        <v>0</v>
      </c>
      <c r="DT241" s="7">
        <f t="shared" si="251"/>
        <v>0</v>
      </c>
      <c r="DU241" s="15">
        <v>0</v>
      </c>
      <c r="DV241" s="15">
        <v>0</v>
      </c>
      <c r="DW241" s="7"/>
      <c r="DX241" s="7"/>
      <c r="DY241" s="7"/>
      <c r="DZ241" s="27"/>
      <c r="EA241" s="319"/>
    </row>
    <row r="242" spans="1:131" s="10" customFormat="1" x14ac:dyDescent="0.25">
      <c r="A242" s="24" t="s">
        <v>83</v>
      </c>
      <c r="B242" s="12" t="s">
        <v>122</v>
      </c>
      <c r="C242" s="24" t="s">
        <v>244</v>
      </c>
      <c r="D242" s="10" t="s">
        <v>1</v>
      </c>
      <c r="E242" s="3">
        <v>770030</v>
      </c>
      <c r="F242" s="353">
        <v>4</v>
      </c>
      <c r="G242" s="353">
        <v>36</v>
      </c>
      <c r="H242" s="353">
        <v>1549</v>
      </c>
      <c r="I242" s="9" t="s">
        <v>1</v>
      </c>
      <c r="J242" s="10" t="s">
        <v>1</v>
      </c>
      <c r="K242" s="3">
        <v>4</v>
      </c>
      <c r="L242" s="3">
        <v>36</v>
      </c>
      <c r="M242" s="45"/>
      <c r="N242" s="3" t="s">
        <v>186</v>
      </c>
      <c r="O242" s="3" t="s">
        <v>192</v>
      </c>
      <c r="P242" s="3" t="s">
        <v>187</v>
      </c>
      <c r="Q242" s="3" t="s">
        <v>187</v>
      </c>
      <c r="R242" s="3">
        <v>100</v>
      </c>
      <c r="S242" s="3" t="s">
        <v>188</v>
      </c>
      <c r="T242" s="12" t="s">
        <v>129</v>
      </c>
      <c r="U242" s="12" t="s">
        <v>222</v>
      </c>
      <c r="V242" s="12"/>
      <c r="W242" s="12"/>
      <c r="X242" s="8"/>
      <c r="Y242" s="25" t="s">
        <v>69</v>
      </c>
      <c r="Z242" s="25"/>
      <c r="AA242" s="252" t="s">
        <v>507</v>
      </c>
      <c r="AB242" s="110" t="s">
        <v>37</v>
      </c>
      <c r="AC242" s="7"/>
      <c r="AD242" s="7"/>
      <c r="AE242" s="7"/>
      <c r="AF242" s="7"/>
      <c r="AG242" s="7"/>
      <c r="AH242" s="7"/>
      <c r="AI242" s="7"/>
      <c r="AJ242" s="62"/>
      <c r="AK242" s="7">
        <v>1000000</v>
      </c>
      <c r="AL242" s="33"/>
      <c r="AM242" s="33">
        <f t="shared" si="214"/>
        <v>1000000</v>
      </c>
      <c r="AN242" s="33">
        <v>0</v>
      </c>
      <c r="AO242" s="7">
        <v>0</v>
      </c>
      <c r="AP242" s="7">
        <f t="shared" si="227"/>
        <v>0</v>
      </c>
      <c r="AQ242" s="7"/>
      <c r="AR242" s="7"/>
      <c r="AS242" s="7">
        <f t="shared" si="228"/>
        <v>0</v>
      </c>
      <c r="AT242" s="7"/>
      <c r="AU242" s="7"/>
      <c r="AV242" s="7">
        <f t="shared" si="229"/>
        <v>0</v>
      </c>
      <c r="AW242" s="7"/>
      <c r="AX242" s="7"/>
      <c r="AY242" s="7">
        <f t="shared" si="230"/>
        <v>0</v>
      </c>
      <c r="AZ242" s="7"/>
      <c r="BA242" s="7"/>
      <c r="BB242" s="7">
        <f t="shared" si="231"/>
        <v>0</v>
      </c>
      <c r="BC242" s="7"/>
      <c r="BD242" s="7"/>
      <c r="BE242" s="7">
        <f t="shared" si="232"/>
        <v>0</v>
      </c>
      <c r="BF242" s="7"/>
      <c r="BG242" s="7"/>
      <c r="BH242" s="7">
        <f t="shared" si="233"/>
        <v>0</v>
      </c>
      <c r="BI242" s="7"/>
      <c r="BJ242" s="7"/>
      <c r="BK242" s="7">
        <f t="shared" si="234"/>
        <v>0</v>
      </c>
      <c r="BL242" s="7"/>
      <c r="BM242" s="7"/>
      <c r="BN242" s="7">
        <f t="shared" si="235"/>
        <v>0</v>
      </c>
      <c r="BO242" s="7"/>
      <c r="BP242" s="7"/>
      <c r="BQ242" s="7">
        <f t="shared" si="236"/>
        <v>0</v>
      </c>
      <c r="BR242" s="7"/>
      <c r="BS242" s="7"/>
      <c r="BT242" s="7">
        <f t="shared" si="237"/>
        <v>0</v>
      </c>
      <c r="BU242" s="7"/>
      <c r="BV242" s="7"/>
      <c r="BW242" s="7">
        <f t="shared" si="238"/>
        <v>0</v>
      </c>
      <c r="BX242" s="7"/>
      <c r="BY242" s="7">
        <f t="shared" si="261"/>
        <v>0</v>
      </c>
      <c r="BZ242" s="7">
        <f t="shared" si="262"/>
        <v>0</v>
      </c>
      <c r="CA242" s="7"/>
      <c r="CB242" s="7">
        <f t="shared" si="263"/>
        <v>1000000</v>
      </c>
      <c r="CC242" s="7">
        <f t="shared" si="266"/>
        <v>1000000</v>
      </c>
      <c r="CD242" s="15">
        <f t="shared" si="264"/>
        <v>0</v>
      </c>
      <c r="CE242" s="15">
        <f t="shared" si="265"/>
        <v>0</v>
      </c>
      <c r="CF242" s="451" t="s">
        <v>846</v>
      </c>
      <c r="CG242" s="7">
        <v>1000000</v>
      </c>
      <c r="CH242" s="7">
        <v>1000000</v>
      </c>
      <c r="CI242" s="7"/>
      <c r="CJ242" s="7"/>
      <c r="CK242" s="7"/>
      <c r="CL242" s="7"/>
      <c r="CM242" s="7"/>
      <c r="CN242" s="7"/>
      <c r="CO242" s="7"/>
      <c r="CP242" s="7"/>
      <c r="CQ242" s="7"/>
      <c r="CR242" s="7"/>
      <c r="CS242" s="7"/>
      <c r="CT242" s="7"/>
      <c r="CU242" s="7"/>
      <c r="CV242" s="7"/>
      <c r="CW242" s="7"/>
      <c r="CX242" s="7"/>
      <c r="CY242" s="7"/>
      <c r="CZ242" s="7"/>
      <c r="DA242" s="7"/>
      <c r="DB242" s="7"/>
      <c r="DC242" s="7"/>
      <c r="DD242" s="7"/>
      <c r="DE242" s="7"/>
      <c r="DF242" s="7"/>
      <c r="DG242" s="7"/>
      <c r="DH242" s="7"/>
      <c r="DI242" s="7"/>
      <c r="DJ242" s="7"/>
      <c r="DK242" s="7"/>
      <c r="DL242" s="7"/>
      <c r="DM242" s="7"/>
      <c r="DN242" s="7"/>
      <c r="DO242" s="7"/>
      <c r="DP242" s="14"/>
      <c r="DQ242" s="14"/>
      <c r="DR242" s="7"/>
      <c r="DS242" s="7"/>
      <c r="DT242" s="7"/>
      <c r="DU242" s="15"/>
      <c r="DV242" s="15"/>
      <c r="DW242" s="7"/>
      <c r="DX242" s="7"/>
      <c r="DY242" s="7"/>
      <c r="DZ242" s="27"/>
      <c r="EA242" s="319"/>
    </row>
    <row r="243" spans="1:131" s="10" customFormat="1" x14ac:dyDescent="0.25">
      <c r="A243" s="24" t="s">
        <v>83</v>
      </c>
      <c r="B243" s="12" t="s">
        <v>122</v>
      </c>
      <c r="C243" s="24" t="s">
        <v>244</v>
      </c>
      <c r="D243" s="10" t="s">
        <v>1</v>
      </c>
      <c r="E243" s="3">
        <v>770030</v>
      </c>
      <c r="F243" s="353">
        <v>4</v>
      </c>
      <c r="G243" s="353">
        <v>36</v>
      </c>
      <c r="H243" s="353">
        <v>1550</v>
      </c>
      <c r="I243" s="9" t="s">
        <v>1</v>
      </c>
      <c r="J243" s="10" t="s">
        <v>1</v>
      </c>
      <c r="K243" s="3">
        <v>4</v>
      </c>
      <c r="L243" s="3">
        <v>36</v>
      </c>
      <c r="M243" s="45"/>
      <c r="N243" s="3" t="s">
        <v>186</v>
      </c>
      <c r="O243" s="3" t="s">
        <v>192</v>
      </c>
      <c r="P243" s="3" t="s">
        <v>187</v>
      </c>
      <c r="Q243" s="3" t="s">
        <v>187</v>
      </c>
      <c r="R243" s="3">
        <v>100</v>
      </c>
      <c r="S243" s="3" t="s">
        <v>188</v>
      </c>
      <c r="T243" s="12" t="s">
        <v>129</v>
      </c>
      <c r="U243" s="12" t="s">
        <v>222</v>
      </c>
      <c r="V243" s="12"/>
      <c r="W243" s="12" t="s">
        <v>2</v>
      </c>
      <c r="X243" s="8" t="s">
        <v>6</v>
      </c>
      <c r="Y243" s="25" t="s">
        <v>69</v>
      </c>
      <c r="Z243" s="25">
        <v>25</v>
      </c>
      <c r="AA243" s="10" t="s">
        <v>121</v>
      </c>
      <c r="AB243" s="110" t="s">
        <v>37</v>
      </c>
      <c r="AC243" s="7">
        <v>0</v>
      </c>
      <c r="AD243" s="7"/>
      <c r="AE243" s="7">
        <f>AC243+AD243</f>
        <v>0</v>
      </c>
      <c r="AF243" s="7"/>
      <c r="AG243" s="7">
        <f t="shared" si="243"/>
        <v>0</v>
      </c>
      <c r="AH243" s="7"/>
      <c r="AI243" s="7">
        <f t="shared" si="244"/>
        <v>0</v>
      </c>
      <c r="AJ243" s="62"/>
      <c r="AK243" s="7">
        <f>75000000-25000000-20000000-10000000</f>
        <v>20000000</v>
      </c>
      <c r="AL243" s="33"/>
      <c r="AM243" s="33">
        <f t="shared" si="214"/>
        <v>20000000</v>
      </c>
      <c r="AN243" s="33">
        <v>0</v>
      </c>
      <c r="AO243" s="7">
        <v>0</v>
      </c>
      <c r="AP243" s="7">
        <f t="shared" si="227"/>
        <v>0</v>
      </c>
      <c r="AQ243" s="7"/>
      <c r="AR243" s="7"/>
      <c r="AS243" s="7">
        <f t="shared" si="228"/>
        <v>0</v>
      </c>
      <c r="AT243" s="7"/>
      <c r="AU243" s="7"/>
      <c r="AV243" s="7">
        <f t="shared" si="229"/>
        <v>0</v>
      </c>
      <c r="AW243" s="7"/>
      <c r="AX243" s="7"/>
      <c r="AY243" s="7">
        <f t="shared" si="230"/>
        <v>0</v>
      </c>
      <c r="AZ243" s="7"/>
      <c r="BA243" s="7"/>
      <c r="BB243" s="7">
        <f t="shared" si="231"/>
        <v>0</v>
      </c>
      <c r="BC243" s="7"/>
      <c r="BD243" s="7"/>
      <c r="BE243" s="7">
        <f t="shared" si="232"/>
        <v>0</v>
      </c>
      <c r="BF243" s="7"/>
      <c r="BG243" s="7"/>
      <c r="BH243" s="7">
        <f t="shared" si="233"/>
        <v>0</v>
      </c>
      <c r="BI243" s="7"/>
      <c r="BJ243" s="7"/>
      <c r="BK243" s="7">
        <f t="shared" si="234"/>
        <v>0</v>
      </c>
      <c r="BL243" s="7"/>
      <c r="BM243" s="7"/>
      <c r="BN243" s="7">
        <f t="shared" si="235"/>
        <v>0</v>
      </c>
      <c r="BO243" s="7"/>
      <c r="BP243" s="7"/>
      <c r="BQ243" s="7">
        <f t="shared" si="236"/>
        <v>0</v>
      </c>
      <c r="BR243" s="7"/>
      <c r="BS243" s="7"/>
      <c r="BT243" s="7">
        <f t="shared" si="237"/>
        <v>0</v>
      </c>
      <c r="BU243" s="7"/>
      <c r="BV243" s="7"/>
      <c r="BW243" s="7">
        <f t="shared" si="238"/>
        <v>0</v>
      </c>
      <c r="BX243" s="7"/>
      <c r="BY243" s="7">
        <f t="shared" si="261"/>
        <v>0</v>
      </c>
      <c r="BZ243" s="7">
        <f t="shared" si="262"/>
        <v>0</v>
      </c>
      <c r="CA243" s="7"/>
      <c r="CB243" s="7">
        <f t="shared" si="263"/>
        <v>20000000</v>
      </c>
      <c r="CC243" s="7">
        <f t="shared" si="266"/>
        <v>20000000</v>
      </c>
      <c r="CD243" s="15">
        <f t="shared" si="264"/>
        <v>0</v>
      </c>
      <c r="CE243" s="15">
        <f t="shared" si="265"/>
        <v>0</v>
      </c>
      <c r="CF243" s="451" t="s">
        <v>846</v>
      </c>
      <c r="CG243" s="7">
        <f>25000000-4289900</f>
        <v>20710100</v>
      </c>
      <c r="CH243" s="7">
        <f>20710100-6297685</f>
        <v>14412415</v>
      </c>
      <c r="CI243" s="7"/>
      <c r="CJ243" s="7"/>
      <c r="CK243" s="7"/>
      <c r="CL243" s="7">
        <f>CK243</f>
        <v>0</v>
      </c>
      <c r="CM243" s="7"/>
      <c r="CN243" s="7">
        <f>CM243</f>
        <v>0</v>
      </c>
      <c r="CO243" s="7"/>
      <c r="CP243" s="7">
        <v>0</v>
      </c>
      <c r="CQ243" s="7">
        <f t="shared" si="245"/>
        <v>0</v>
      </c>
      <c r="CR243" s="7">
        <f>CK243+CM243+CO243</f>
        <v>0</v>
      </c>
      <c r="CS243" s="7">
        <f>CL243+CN243+CQ243</f>
        <v>0</v>
      </c>
      <c r="CT243" s="7"/>
      <c r="CU243" s="7"/>
      <c r="CV243" s="7">
        <f>CT243+CU243</f>
        <v>0</v>
      </c>
      <c r="CW243" s="7"/>
      <c r="CX243" s="7"/>
      <c r="CY243" s="7">
        <f t="shared" si="246"/>
        <v>0</v>
      </c>
      <c r="CZ243" s="7"/>
      <c r="DA243" s="7"/>
      <c r="DB243" s="7">
        <f t="shared" si="247"/>
        <v>0</v>
      </c>
      <c r="DC243" s="7"/>
      <c r="DD243" s="7">
        <f>DC243</f>
        <v>0</v>
      </c>
      <c r="DE243" s="7"/>
      <c r="DF243" s="7">
        <f>DE243</f>
        <v>0</v>
      </c>
      <c r="DG243" s="7"/>
      <c r="DH243" s="7">
        <f>DG243</f>
        <v>0</v>
      </c>
      <c r="DI243" s="7"/>
      <c r="DJ243" s="7">
        <f>DI243</f>
        <v>0</v>
      </c>
      <c r="DK243" s="7"/>
      <c r="DL243" s="7">
        <f>DK243</f>
        <v>0</v>
      </c>
      <c r="DM243" s="7"/>
      <c r="DN243" s="7">
        <f>DM243</f>
        <v>0</v>
      </c>
      <c r="DO243" s="7"/>
      <c r="DP243" s="14">
        <f t="shared" si="248"/>
        <v>0</v>
      </c>
      <c r="DQ243" s="14">
        <f t="shared" si="249"/>
        <v>0</v>
      </c>
      <c r="DR243" s="7"/>
      <c r="DS243" s="7">
        <f t="shared" si="250"/>
        <v>0</v>
      </c>
      <c r="DT243" s="7">
        <f t="shared" si="251"/>
        <v>0</v>
      </c>
      <c r="DU243" s="15">
        <v>0</v>
      </c>
      <c r="DV243" s="15">
        <v>0</v>
      </c>
      <c r="DW243" s="7"/>
      <c r="DX243" s="7"/>
      <c r="DY243" s="7"/>
      <c r="DZ243" s="27"/>
      <c r="EA243" s="319"/>
    </row>
    <row r="244" spans="1:131" s="10" customFormat="1" x14ac:dyDescent="0.25">
      <c r="A244" s="24" t="s">
        <v>83</v>
      </c>
      <c r="B244" s="12"/>
      <c r="C244" s="24" t="s">
        <v>244</v>
      </c>
      <c r="E244" s="3">
        <v>770030</v>
      </c>
      <c r="F244" s="353">
        <v>4</v>
      </c>
      <c r="G244" s="359" t="s">
        <v>187</v>
      </c>
      <c r="H244" s="353">
        <v>1560</v>
      </c>
      <c r="I244" s="9" t="s">
        <v>1</v>
      </c>
      <c r="J244" s="10" t="s">
        <v>1</v>
      </c>
      <c r="K244" s="3"/>
      <c r="L244" s="3"/>
      <c r="M244" s="45"/>
      <c r="N244" s="3" t="s">
        <v>186</v>
      </c>
      <c r="O244" s="3" t="s">
        <v>192</v>
      </c>
      <c r="P244" s="3" t="s">
        <v>187</v>
      </c>
      <c r="Q244" s="3" t="s">
        <v>187</v>
      </c>
      <c r="R244" s="3">
        <v>100</v>
      </c>
      <c r="S244" s="3" t="s">
        <v>188</v>
      </c>
      <c r="T244" s="12" t="s">
        <v>129</v>
      </c>
      <c r="U244" s="12" t="s">
        <v>222</v>
      </c>
      <c r="V244" s="12"/>
      <c r="W244" s="12"/>
      <c r="X244" s="8"/>
      <c r="Y244" s="25"/>
      <c r="Z244" s="25"/>
      <c r="AA244" s="10" t="s">
        <v>737</v>
      </c>
      <c r="AB244" s="12" t="s">
        <v>8</v>
      </c>
      <c r="AC244" s="7"/>
      <c r="AD244" s="7"/>
      <c r="AE244" s="7"/>
      <c r="AF244" s="7"/>
      <c r="AG244" s="7"/>
      <c r="AH244" s="7"/>
      <c r="AI244" s="7"/>
      <c r="AJ244" s="62"/>
      <c r="AK244" s="7"/>
      <c r="AL244" s="33">
        <v>40000000</v>
      </c>
      <c r="AM244" s="33">
        <f t="shared" si="214"/>
        <v>40000000</v>
      </c>
      <c r="AN244" s="33"/>
      <c r="AO244" s="7"/>
      <c r="AP244" s="7">
        <f t="shared" si="227"/>
        <v>0</v>
      </c>
      <c r="AQ244" s="7"/>
      <c r="AR244" s="7"/>
      <c r="AS244" s="7">
        <f t="shared" si="228"/>
        <v>0</v>
      </c>
      <c r="AT244" s="7"/>
      <c r="AU244" s="7"/>
      <c r="AV244" s="7">
        <f t="shared" si="229"/>
        <v>0</v>
      </c>
      <c r="AW244" s="7"/>
      <c r="AX244" s="7"/>
      <c r="AY244" s="7">
        <f t="shared" si="230"/>
        <v>0</v>
      </c>
      <c r="AZ244" s="7"/>
      <c r="BA244" s="7"/>
      <c r="BB244" s="7"/>
      <c r="BC244" s="7"/>
      <c r="BD244" s="7"/>
      <c r="BE244" s="7"/>
      <c r="BF244" s="7"/>
      <c r="BG244" s="7"/>
      <c r="BH244" s="7"/>
      <c r="BI244" s="7"/>
      <c r="BJ244" s="7"/>
      <c r="BK244" s="7"/>
      <c r="BL244" s="7"/>
      <c r="BM244" s="7"/>
      <c r="BN244" s="7"/>
      <c r="BO244" s="7"/>
      <c r="BP244" s="7"/>
      <c r="BQ244" s="7"/>
      <c r="BR244" s="7"/>
      <c r="BS244" s="7"/>
      <c r="BT244" s="7"/>
      <c r="BU244" s="7"/>
      <c r="BV244" s="7"/>
      <c r="BW244" s="7"/>
      <c r="BX244" s="7">
        <v>15987336.619999999</v>
      </c>
      <c r="BY244" s="7">
        <f t="shared" si="261"/>
        <v>0</v>
      </c>
      <c r="BZ244" s="7">
        <f t="shared" si="262"/>
        <v>0</v>
      </c>
      <c r="CA244" s="7"/>
      <c r="CB244" s="7">
        <f t="shared" si="263"/>
        <v>40000000</v>
      </c>
      <c r="CC244" s="7">
        <f t="shared" si="266"/>
        <v>40000000</v>
      </c>
      <c r="CD244" s="15">
        <f t="shared" si="264"/>
        <v>0</v>
      </c>
      <c r="CE244" s="15">
        <f t="shared" si="265"/>
        <v>0</v>
      </c>
      <c r="CF244" s="451" t="s">
        <v>789</v>
      </c>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c r="DK244" s="7"/>
      <c r="DL244" s="7"/>
      <c r="DM244" s="7"/>
      <c r="DN244" s="7"/>
      <c r="DO244" s="7"/>
      <c r="DP244" s="14"/>
      <c r="DQ244" s="14"/>
      <c r="DR244" s="7"/>
      <c r="DS244" s="7"/>
      <c r="DT244" s="7"/>
      <c r="DU244" s="15"/>
      <c r="DV244" s="15"/>
      <c r="DW244" s="7"/>
      <c r="DX244" s="7"/>
      <c r="DY244" s="7"/>
      <c r="DZ244" s="27"/>
      <c r="EA244" s="319"/>
    </row>
    <row r="245" spans="1:131" s="10" customFormat="1" x14ac:dyDescent="0.25">
      <c r="A245" s="24" t="s">
        <v>83</v>
      </c>
      <c r="B245" s="12" t="s">
        <v>122</v>
      </c>
      <c r="C245" s="24" t="s">
        <v>244</v>
      </c>
      <c r="E245" s="3">
        <v>770030</v>
      </c>
      <c r="F245" s="353">
        <v>4</v>
      </c>
      <c r="G245" s="359" t="s">
        <v>187</v>
      </c>
      <c r="H245" s="353">
        <v>1551</v>
      </c>
      <c r="I245" s="9" t="s">
        <v>1</v>
      </c>
      <c r="J245" s="10" t="s">
        <v>1</v>
      </c>
      <c r="K245" s="3">
        <v>4</v>
      </c>
      <c r="L245" s="11" t="s">
        <v>187</v>
      </c>
      <c r="M245" s="45"/>
      <c r="N245" s="11" t="s">
        <v>186</v>
      </c>
      <c r="O245" s="11" t="s">
        <v>192</v>
      </c>
      <c r="P245" s="11" t="s">
        <v>187</v>
      </c>
      <c r="Q245" s="3" t="s">
        <v>187</v>
      </c>
      <c r="R245" s="3">
        <v>100</v>
      </c>
      <c r="S245" s="3" t="s">
        <v>188</v>
      </c>
      <c r="T245" s="12" t="s">
        <v>129</v>
      </c>
      <c r="U245" s="12" t="s">
        <v>222</v>
      </c>
      <c r="V245" s="12"/>
      <c r="W245" s="12" t="s">
        <v>2</v>
      </c>
      <c r="X245" s="8"/>
      <c r="Y245" s="25" t="s">
        <v>69</v>
      </c>
      <c r="Z245" s="25"/>
      <c r="AA245" s="10" t="s">
        <v>287</v>
      </c>
      <c r="AB245" s="12" t="s">
        <v>8</v>
      </c>
      <c r="AC245" s="7"/>
      <c r="AD245" s="7"/>
      <c r="AE245" s="7">
        <v>0</v>
      </c>
      <c r="AF245" s="7">
        <v>51990000</v>
      </c>
      <c r="AG245" s="7">
        <v>14240000</v>
      </c>
      <c r="AH245" s="7"/>
      <c r="AI245" s="7">
        <f t="shared" si="244"/>
        <v>14240000</v>
      </c>
      <c r="AJ245" s="62"/>
      <c r="AK245" s="7">
        <f>25000000-15000000</f>
        <v>10000000</v>
      </c>
      <c r="AL245" s="33"/>
      <c r="AM245" s="33">
        <f t="shared" si="214"/>
        <v>10000000</v>
      </c>
      <c r="AN245" s="33">
        <v>0</v>
      </c>
      <c r="AO245" s="7">
        <v>0</v>
      </c>
      <c r="AP245" s="7">
        <f t="shared" si="227"/>
        <v>0</v>
      </c>
      <c r="AQ245" s="7">
        <v>641246.4</v>
      </c>
      <c r="AR245" s="7"/>
      <c r="AS245" s="7">
        <f t="shared" si="228"/>
        <v>641246.4</v>
      </c>
      <c r="AT245" s="7">
        <v>961869.6</v>
      </c>
      <c r="AU245" s="7"/>
      <c r="AV245" s="7">
        <f t="shared" si="229"/>
        <v>961869.6</v>
      </c>
      <c r="AW245" s="7">
        <v>2235456.2000000002</v>
      </c>
      <c r="AX245" s="7"/>
      <c r="AY245" s="7">
        <f t="shared" si="230"/>
        <v>2235456.2000000002</v>
      </c>
      <c r="AZ245" s="7"/>
      <c r="BA245" s="7"/>
      <c r="BB245" s="7">
        <f t="shared" si="231"/>
        <v>0</v>
      </c>
      <c r="BC245" s="7"/>
      <c r="BD245" s="7"/>
      <c r="BE245" s="7">
        <f t="shared" si="232"/>
        <v>0</v>
      </c>
      <c r="BF245" s="7"/>
      <c r="BG245" s="7"/>
      <c r="BH245" s="7">
        <f t="shared" si="233"/>
        <v>0</v>
      </c>
      <c r="BI245" s="7"/>
      <c r="BJ245" s="7"/>
      <c r="BK245" s="7">
        <f t="shared" si="234"/>
        <v>0</v>
      </c>
      <c r="BL245" s="7"/>
      <c r="BM245" s="7"/>
      <c r="BN245" s="7">
        <f t="shared" si="235"/>
        <v>0</v>
      </c>
      <c r="BO245" s="7"/>
      <c r="BP245" s="7"/>
      <c r="BQ245" s="7">
        <f t="shared" si="236"/>
        <v>0</v>
      </c>
      <c r="BR245" s="7"/>
      <c r="BS245" s="7"/>
      <c r="BT245" s="7">
        <f t="shared" si="237"/>
        <v>0</v>
      </c>
      <c r="BU245" s="7"/>
      <c r="BV245" s="7"/>
      <c r="BW245" s="7">
        <f t="shared" si="238"/>
        <v>0</v>
      </c>
      <c r="BX245" s="7">
        <v>3009600</v>
      </c>
      <c r="BY245" s="7">
        <f t="shared" si="261"/>
        <v>3838572.2</v>
      </c>
      <c r="BZ245" s="7">
        <f>AP245+AS245+AV245+AY245+BB245+BE245+BH245+BK245+BN245+BQ245+BT245+BW245</f>
        <v>3838572.2</v>
      </c>
      <c r="CA245" s="7"/>
      <c r="CB245" s="7">
        <f t="shared" si="263"/>
        <v>6161427.7999999998</v>
      </c>
      <c r="CC245" s="7">
        <f t="shared" si="266"/>
        <v>6161427.7999999998</v>
      </c>
      <c r="CD245" s="15">
        <f t="shared" si="264"/>
        <v>0.38385722</v>
      </c>
      <c r="CE245" s="15">
        <f t="shared" si="265"/>
        <v>0.38385722</v>
      </c>
      <c r="CF245" s="451" t="s">
        <v>896</v>
      </c>
      <c r="CG245" s="7">
        <f>16000000-6000000</f>
        <v>10000000</v>
      </c>
      <c r="CH245" s="7">
        <f>17000000-7000000</f>
        <v>10000000</v>
      </c>
      <c r="CI245" s="7"/>
      <c r="CJ245" s="7"/>
      <c r="CK245" s="7"/>
      <c r="CL245" s="7"/>
      <c r="CM245" s="7"/>
      <c r="CN245" s="7"/>
      <c r="CO245" s="7"/>
      <c r="CP245" s="7"/>
      <c r="CQ245" s="7"/>
      <c r="CR245" s="7"/>
      <c r="CS245" s="7"/>
      <c r="CT245" s="7"/>
      <c r="CU245" s="7"/>
      <c r="CV245" s="7"/>
      <c r="CW245" s="7"/>
      <c r="CX245" s="7"/>
      <c r="CY245" s="7"/>
      <c r="CZ245" s="7"/>
      <c r="DA245" s="7"/>
      <c r="DB245" s="7">
        <f t="shared" si="247"/>
        <v>0</v>
      </c>
      <c r="DC245" s="7"/>
      <c r="DD245" s="7"/>
      <c r="DE245" s="7"/>
      <c r="DF245" s="7"/>
      <c r="DG245" s="7"/>
      <c r="DH245" s="7"/>
      <c r="DI245" s="7"/>
      <c r="DJ245" s="7"/>
      <c r="DK245" s="7"/>
      <c r="DL245" s="7"/>
      <c r="DM245" s="7"/>
      <c r="DN245" s="7"/>
      <c r="DO245" s="7"/>
      <c r="DP245" s="14">
        <f>CK245+CM245+CO245+CT245+CW245+CZ245+DC245+DE245+DG245+DI245+DK245+DM245</f>
        <v>0</v>
      </c>
      <c r="DQ245" s="14">
        <f t="shared" si="249"/>
        <v>0</v>
      </c>
      <c r="DR245" s="7"/>
      <c r="DS245" s="7">
        <f>AG245-DP245</f>
        <v>14240000</v>
      </c>
      <c r="DT245" s="7">
        <f>AG245-DQ245</f>
        <v>14240000</v>
      </c>
      <c r="DU245" s="15">
        <f>DP245/AG245</f>
        <v>0</v>
      </c>
      <c r="DV245" s="15">
        <f>DQ245/AG245</f>
        <v>0</v>
      </c>
      <c r="DW245" s="15"/>
      <c r="DX245" s="15"/>
      <c r="DY245" s="7"/>
      <c r="DZ245" s="27"/>
      <c r="EA245" s="319"/>
    </row>
    <row r="246" spans="1:131" s="10" customFormat="1" ht="16.5" thickBot="1" x14ac:dyDescent="0.3">
      <c r="A246" s="41"/>
      <c r="B246" s="18"/>
      <c r="C246" s="41"/>
      <c r="D246" s="18"/>
      <c r="E246" s="57"/>
      <c r="F246" s="358"/>
      <c r="G246" s="358"/>
      <c r="H246" s="358"/>
      <c r="I246" s="55"/>
      <c r="J246" s="56"/>
      <c r="K246" s="57"/>
      <c r="L246" s="57"/>
      <c r="M246" s="57"/>
      <c r="N246" s="57"/>
      <c r="O246" s="57"/>
      <c r="P246" s="57"/>
      <c r="Q246" s="57"/>
      <c r="R246" s="57"/>
      <c r="S246" s="57"/>
      <c r="T246" s="28"/>
      <c r="U246" s="28"/>
      <c r="V246" s="28"/>
      <c r="W246" s="18"/>
      <c r="X246" s="18"/>
      <c r="Y246" s="39"/>
      <c r="Z246" s="30"/>
      <c r="AA246" s="56" t="s">
        <v>87</v>
      </c>
      <c r="AB246" s="29"/>
      <c r="AC246" s="20">
        <f>SUM(AC205:AC245)</f>
        <v>39040943</v>
      </c>
      <c r="AD246" s="20">
        <f>SUM(AD205:AD245)</f>
        <v>0</v>
      </c>
      <c r="AE246" s="20">
        <f>SUM(AE205:AE245)</f>
        <v>39040943</v>
      </c>
      <c r="AF246" s="20">
        <f>SUM(AF205:AF245)</f>
        <v>46790000</v>
      </c>
      <c r="AG246" s="20">
        <f t="shared" ref="AG246:AJ246" si="269">SUM(AG204:AG245)</f>
        <v>48080943</v>
      </c>
      <c r="AH246" s="20">
        <f t="shared" si="269"/>
        <v>-8384413</v>
      </c>
      <c r="AI246" s="20">
        <f t="shared" si="269"/>
        <v>39696530</v>
      </c>
      <c r="AJ246" s="407">
        <f t="shared" si="269"/>
        <v>0</v>
      </c>
      <c r="AK246" s="20">
        <f>SUM(AK204:AK245)</f>
        <v>86530409</v>
      </c>
      <c r="AL246" s="20">
        <f t="shared" ref="AL246:AM246" si="270">SUM(AL204:AL245)</f>
        <v>77334714</v>
      </c>
      <c r="AM246" s="20">
        <f t="shared" si="270"/>
        <v>163865123</v>
      </c>
      <c r="AN246" s="20">
        <f t="shared" ref="AN246:CA246" si="271">SUM(AN204:AN245)</f>
        <v>0</v>
      </c>
      <c r="AO246" s="20">
        <f t="shared" si="271"/>
        <v>0</v>
      </c>
      <c r="AP246" s="20">
        <f t="shared" si="271"/>
        <v>0</v>
      </c>
      <c r="AQ246" s="20">
        <f t="shared" si="271"/>
        <v>882714.55</v>
      </c>
      <c r="AR246" s="20">
        <f t="shared" si="271"/>
        <v>5819.54</v>
      </c>
      <c r="AS246" s="20">
        <f t="shared" si="271"/>
        <v>888534.09000000008</v>
      </c>
      <c r="AT246" s="20">
        <f t="shared" si="271"/>
        <v>3513945.48</v>
      </c>
      <c r="AU246" s="20">
        <f t="shared" si="271"/>
        <v>17293.989999999998</v>
      </c>
      <c r="AV246" s="20">
        <f t="shared" si="271"/>
        <v>3531239.47</v>
      </c>
      <c r="AW246" s="20">
        <f t="shared" si="271"/>
        <v>3565542.21</v>
      </c>
      <c r="AX246" s="20">
        <f t="shared" si="271"/>
        <v>136923.60999999999</v>
      </c>
      <c r="AY246" s="20">
        <f t="shared" si="230"/>
        <v>3702465.82</v>
      </c>
      <c r="AZ246" s="20">
        <f t="shared" si="271"/>
        <v>0</v>
      </c>
      <c r="BA246" s="20">
        <f t="shared" si="271"/>
        <v>0</v>
      </c>
      <c r="BB246" s="20">
        <f t="shared" si="271"/>
        <v>0</v>
      </c>
      <c r="BC246" s="20">
        <f t="shared" si="271"/>
        <v>0</v>
      </c>
      <c r="BD246" s="20">
        <f t="shared" si="271"/>
        <v>0</v>
      </c>
      <c r="BE246" s="20">
        <f t="shared" si="271"/>
        <v>0</v>
      </c>
      <c r="BF246" s="20">
        <f t="shared" si="271"/>
        <v>0</v>
      </c>
      <c r="BG246" s="20">
        <f t="shared" si="271"/>
        <v>0</v>
      </c>
      <c r="BH246" s="20">
        <f t="shared" si="271"/>
        <v>0</v>
      </c>
      <c r="BI246" s="20">
        <f t="shared" si="271"/>
        <v>0</v>
      </c>
      <c r="BJ246" s="20">
        <f t="shared" si="271"/>
        <v>0</v>
      </c>
      <c r="BK246" s="20">
        <f t="shared" si="271"/>
        <v>0</v>
      </c>
      <c r="BL246" s="20">
        <f t="shared" si="271"/>
        <v>0</v>
      </c>
      <c r="BM246" s="20">
        <f t="shared" si="271"/>
        <v>0</v>
      </c>
      <c r="BN246" s="20">
        <f t="shared" si="271"/>
        <v>0</v>
      </c>
      <c r="BO246" s="20">
        <f t="shared" si="271"/>
        <v>0</v>
      </c>
      <c r="BP246" s="20">
        <f t="shared" si="271"/>
        <v>0</v>
      </c>
      <c r="BQ246" s="20">
        <f t="shared" si="271"/>
        <v>0</v>
      </c>
      <c r="BR246" s="20">
        <f t="shared" si="271"/>
        <v>0</v>
      </c>
      <c r="BS246" s="20">
        <f t="shared" si="271"/>
        <v>0</v>
      </c>
      <c r="BT246" s="20">
        <f t="shared" si="271"/>
        <v>0</v>
      </c>
      <c r="BU246" s="20">
        <f t="shared" si="271"/>
        <v>0</v>
      </c>
      <c r="BV246" s="20">
        <f t="shared" si="271"/>
        <v>0</v>
      </c>
      <c r="BW246" s="20">
        <f t="shared" si="271"/>
        <v>0</v>
      </c>
      <c r="BX246" s="20">
        <f t="shared" si="271"/>
        <v>29650172.609999999</v>
      </c>
      <c r="BY246" s="20">
        <f t="shared" si="261"/>
        <v>7962202.2400000002</v>
      </c>
      <c r="BZ246" s="20">
        <f t="shared" si="262"/>
        <v>8122239.3800000008</v>
      </c>
      <c r="CA246" s="20">
        <f t="shared" si="271"/>
        <v>4060037</v>
      </c>
      <c r="CB246" s="20">
        <f t="shared" si="263"/>
        <v>155902920.75999999</v>
      </c>
      <c r="CC246" s="20">
        <f t="shared" si="266"/>
        <v>155742883.62</v>
      </c>
      <c r="CD246" s="21">
        <f t="shared" si="264"/>
        <v>4.8589975061380207E-2</v>
      </c>
      <c r="CE246" s="21">
        <f t="shared" si="265"/>
        <v>4.9566614489405414E-2</v>
      </c>
      <c r="CF246" s="456"/>
      <c r="CG246" s="20">
        <f>SUM(CG204:CG245)</f>
        <v>75960100</v>
      </c>
      <c r="CH246" s="20">
        <f>SUM(CH204:CH245)</f>
        <v>67662415</v>
      </c>
      <c r="CI246" s="20">
        <f>SUM(CI204:CI245)</f>
        <v>0</v>
      </c>
      <c r="CJ246" s="20">
        <f>SUM(CJ204:CJ245)</f>
        <v>0</v>
      </c>
      <c r="CK246" s="20">
        <f t="shared" ref="CK246:DT246" si="272">SUM(CK205:CK245)</f>
        <v>0</v>
      </c>
      <c r="CL246" s="20">
        <f t="shared" si="272"/>
        <v>0</v>
      </c>
      <c r="CM246" s="20">
        <f t="shared" si="272"/>
        <v>214984.38</v>
      </c>
      <c r="CN246" s="20">
        <f t="shared" si="272"/>
        <v>220957.91999999998</v>
      </c>
      <c r="CO246" s="20">
        <f t="shared" si="272"/>
        <v>1079467.6800000002</v>
      </c>
      <c r="CP246" s="20">
        <f t="shared" si="272"/>
        <v>75640.290000000008</v>
      </c>
      <c r="CQ246" s="20">
        <f t="shared" si="272"/>
        <v>1155107.97</v>
      </c>
      <c r="CR246" s="20">
        <f t="shared" si="272"/>
        <v>1294452.06</v>
      </c>
      <c r="CS246" s="20">
        <f t="shared" si="272"/>
        <v>1376065.89</v>
      </c>
      <c r="CT246" s="20">
        <f t="shared" si="272"/>
        <v>956481.57000000007</v>
      </c>
      <c r="CU246" s="20">
        <f t="shared" si="272"/>
        <v>96061.39</v>
      </c>
      <c r="CV246" s="20">
        <f t="shared" si="272"/>
        <v>1052542.96</v>
      </c>
      <c r="CW246" s="20">
        <f t="shared" si="272"/>
        <v>1825926.86</v>
      </c>
      <c r="CX246" s="20">
        <f t="shared" si="272"/>
        <v>212831.87</v>
      </c>
      <c r="CY246" s="20">
        <f t="shared" si="272"/>
        <v>2038758.7300000002</v>
      </c>
      <c r="CZ246" s="20">
        <f t="shared" si="272"/>
        <v>4462206.87</v>
      </c>
      <c r="DA246" s="20">
        <f t="shared" si="272"/>
        <v>449647.12</v>
      </c>
      <c r="DB246" s="20">
        <f t="shared" si="272"/>
        <v>4911853.99</v>
      </c>
      <c r="DC246" s="20">
        <f t="shared" si="272"/>
        <v>0</v>
      </c>
      <c r="DD246" s="20">
        <f t="shared" si="272"/>
        <v>0</v>
      </c>
      <c r="DE246" s="20">
        <f t="shared" si="272"/>
        <v>0</v>
      </c>
      <c r="DF246" s="20">
        <f t="shared" si="272"/>
        <v>0</v>
      </c>
      <c r="DG246" s="20">
        <f t="shared" si="272"/>
        <v>0</v>
      </c>
      <c r="DH246" s="20">
        <f t="shared" si="272"/>
        <v>0</v>
      </c>
      <c r="DI246" s="20">
        <f t="shared" si="272"/>
        <v>0</v>
      </c>
      <c r="DJ246" s="20">
        <f t="shared" si="272"/>
        <v>0</v>
      </c>
      <c r="DK246" s="20">
        <f t="shared" si="272"/>
        <v>0</v>
      </c>
      <c r="DL246" s="20">
        <f t="shared" si="272"/>
        <v>0</v>
      </c>
      <c r="DM246" s="20">
        <f t="shared" si="272"/>
        <v>0</v>
      </c>
      <c r="DN246" s="20">
        <f t="shared" si="272"/>
        <v>0</v>
      </c>
      <c r="DO246" s="20">
        <f t="shared" si="272"/>
        <v>6556720.8799999999</v>
      </c>
      <c r="DP246" s="20">
        <f t="shared" si="272"/>
        <v>8539067.3599999994</v>
      </c>
      <c r="DQ246" s="20">
        <f t="shared" si="272"/>
        <v>9379221.5700000003</v>
      </c>
      <c r="DR246" s="20">
        <f t="shared" si="272"/>
        <v>0</v>
      </c>
      <c r="DS246" s="20">
        <f t="shared" si="272"/>
        <v>39541875.640000001</v>
      </c>
      <c r="DT246" s="20">
        <f t="shared" si="272"/>
        <v>38701721.43</v>
      </c>
      <c r="DU246" s="21">
        <f>DP246/AG246</f>
        <v>0.1775977513585788</v>
      </c>
      <c r="DV246" s="21">
        <f>DQ246/AG246</f>
        <v>0.19507149786974853</v>
      </c>
      <c r="DW246" s="21"/>
      <c r="DX246" s="21"/>
      <c r="DY246" s="20"/>
      <c r="DZ246" s="42"/>
      <c r="EA246" s="319"/>
    </row>
    <row r="247" spans="1:131" s="10" customFormat="1" ht="17.25" thickTop="1" thickBot="1" x14ac:dyDescent="0.3">
      <c r="A247" s="56"/>
      <c r="B247" s="18"/>
      <c r="C247" s="56"/>
      <c r="D247" s="18"/>
      <c r="E247" s="45"/>
      <c r="F247" s="356"/>
      <c r="G247" s="356"/>
      <c r="H247" s="356"/>
      <c r="I247" s="46"/>
      <c r="J247" s="47"/>
      <c r="K247" s="45"/>
      <c r="L247" s="45"/>
      <c r="M247" s="45"/>
      <c r="N247" s="45"/>
      <c r="O247" s="45"/>
      <c r="P247" s="45"/>
      <c r="Q247" s="45"/>
      <c r="R247" s="45"/>
      <c r="S247" s="45"/>
      <c r="T247" s="12"/>
      <c r="U247" s="12"/>
      <c r="V247" s="12"/>
      <c r="W247" s="442"/>
      <c r="X247" s="442"/>
      <c r="Y247" s="13"/>
      <c r="Z247" s="25"/>
      <c r="AA247" s="47"/>
      <c r="AB247" s="24"/>
      <c r="AC247" s="54"/>
      <c r="AD247" s="54"/>
      <c r="AE247" s="54"/>
      <c r="AF247" s="54"/>
      <c r="AG247" s="54"/>
      <c r="AH247" s="54"/>
      <c r="AI247" s="54"/>
      <c r="AJ247" s="443"/>
      <c r="AK247" s="54"/>
      <c r="AL247" s="54"/>
      <c r="AM247" s="54"/>
      <c r="AN247" s="313"/>
      <c r="AO247" s="54"/>
      <c r="AP247" s="54"/>
      <c r="AQ247" s="54"/>
      <c r="AR247" s="54"/>
      <c r="AS247" s="54"/>
      <c r="AT247" s="54"/>
      <c r="AU247" s="54"/>
      <c r="AV247" s="54"/>
      <c r="AW247" s="54"/>
      <c r="AX247" s="54"/>
      <c r="AY247" s="7"/>
      <c r="AZ247" s="54"/>
      <c r="BA247" s="54"/>
      <c r="BB247" s="54"/>
      <c r="BC247" s="54"/>
      <c r="BD247" s="54"/>
      <c r="BE247" s="54"/>
      <c r="BF247" s="54"/>
      <c r="BG247" s="54"/>
      <c r="BH247" s="54"/>
      <c r="BI247" s="54"/>
      <c r="BJ247" s="54"/>
      <c r="BK247" s="54"/>
      <c r="BL247" s="54"/>
      <c r="BM247" s="54"/>
      <c r="BN247" s="54"/>
      <c r="BO247" s="54"/>
      <c r="BP247" s="54"/>
      <c r="BQ247" s="54"/>
      <c r="BR247" s="54"/>
      <c r="BS247" s="54"/>
      <c r="BT247" s="54"/>
      <c r="BU247" s="54"/>
      <c r="BV247" s="54"/>
      <c r="BW247" s="54"/>
      <c r="BX247" s="54"/>
      <c r="BY247" s="7"/>
      <c r="BZ247" s="7"/>
      <c r="CA247" s="54"/>
      <c r="CB247" s="7"/>
      <c r="CC247" s="7"/>
      <c r="CD247" s="15"/>
      <c r="CE247" s="15"/>
      <c r="CF247" s="451"/>
      <c r="CG247" s="20"/>
      <c r="CH247" s="20"/>
      <c r="CI247" s="20"/>
      <c r="CJ247" s="20"/>
      <c r="CK247" s="20"/>
      <c r="CL247" s="20"/>
      <c r="CM247" s="20"/>
      <c r="CN247" s="20"/>
      <c r="CO247" s="20"/>
      <c r="CP247" s="20"/>
      <c r="CQ247" s="20"/>
      <c r="CR247" s="20"/>
      <c r="CS247" s="20"/>
      <c r="CT247" s="20"/>
      <c r="CU247" s="20"/>
      <c r="CV247" s="20"/>
      <c r="CW247" s="20"/>
      <c r="CX247" s="20"/>
      <c r="CY247" s="20"/>
      <c r="CZ247" s="20"/>
      <c r="DA247" s="20"/>
      <c r="DB247" s="20"/>
      <c r="DC247" s="20"/>
      <c r="DD247" s="20"/>
      <c r="DE247" s="20"/>
      <c r="DF247" s="20"/>
      <c r="DG247" s="20"/>
      <c r="DH247" s="20"/>
      <c r="DI247" s="20"/>
      <c r="DJ247" s="20"/>
      <c r="DK247" s="20"/>
      <c r="DL247" s="20"/>
      <c r="DM247" s="20"/>
      <c r="DN247" s="20"/>
      <c r="DO247" s="20"/>
      <c r="DP247" s="20"/>
      <c r="DQ247" s="20"/>
      <c r="DR247" s="20"/>
      <c r="DS247" s="20"/>
      <c r="DT247" s="20"/>
      <c r="DU247" s="21"/>
      <c r="DV247" s="21"/>
      <c r="DW247" s="295"/>
      <c r="DX247" s="295"/>
      <c r="DY247" s="54"/>
      <c r="DZ247" s="64"/>
      <c r="EA247" s="319"/>
    </row>
    <row r="248" spans="1:131" s="10" customFormat="1" ht="17.25" thickTop="1" thickBot="1" x14ac:dyDescent="0.3">
      <c r="A248" s="56"/>
      <c r="B248" s="18"/>
      <c r="C248" s="56"/>
      <c r="D248" s="18"/>
      <c r="E248" s="57"/>
      <c r="F248" s="358"/>
      <c r="G248" s="358"/>
      <c r="H248" s="358"/>
      <c r="I248" s="55"/>
      <c r="J248" s="56"/>
      <c r="K248" s="57"/>
      <c r="L248" s="57"/>
      <c r="M248" s="57"/>
      <c r="N248" s="57"/>
      <c r="O248" s="57"/>
      <c r="P248" s="57"/>
      <c r="Q248" s="57"/>
      <c r="R248" s="57"/>
      <c r="S248" s="57"/>
      <c r="T248" s="28"/>
      <c r="U248" s="28"/>
      <c r="V248" s="28"/>
      <c r="W248" s="18"/>
      <c r="X248" s="18"/>
      <c r="Y248" s="39"/>
      <c r="Z248" s="30"/>
      <c r="AA248" s="345" t="s">
        <v>252</v>
      </c>
      <c r="AB248" s="29"/>
      <c r="AC248" s="20"/>
      <c r="AD248" s="20"/>
      <c r="AE248" s="20"/>
      <c r="AF248" s="20"/>
      <c r="AG248" s="20"/>
      <c r="AH248" s="20"/>
      <c r="AI248" s="20"/>
      <c r="AJ248" s="407"/>
      <c r="AK248" s="20">
        <f t="shared" ref="AK248:BX248" si="273">AK17+AK24+AK69+AK79+AK101+AK148+AK161+AK166+AK201+AK246</f>
        <v>932007423</v>
      </c>
      <c r="AL248" s="20">
        <f t="shared" si="273"/>
        <v>116774633</v>
      </c>
      <c r="AM248" s="20">
        <f t="shared" si="273"/>
        <v>1049548556</v>
      </c>
      <c r="AN248" s="20">
        <f t="shared" si="273"/>
        <v>4279296.1500000004</v>
      </c>
      <c r="AO248" s="20">
        <f t="shared" si="273"/>
        <v>305995.65000000002</v>
      </c>
      <c r="AP248" s="20">
        <f t="shared" si="273"/>
        <v>4585291.8000000007</v>
      </c>
      <c r="AQ248" s="20">
        <f t="shared" si="273"/>
        <v>36998451.879999988</v>
      </c>
      <c r="AR248" s="20">
        <f t="shared" si="273"/>
        <v>3733785.71</v>
      </c>
      <c r="AS248" s="20">
        <f t="shared" si="273"/>
        <v>40732237.589999996</v>
      </c>
      <c r="AT248" s="20">
        <f t="shared" si="273"/>
        <v>63771348.910000004</v>
      </c>
      <c r="AU248" s="20">
        <f t="shared" si="273"/>
        <v>5239427.37</v>
      </c>
      <c r="AV248" s="20">
        <f t="shared" si="273"/>
        <v>69010776.280000001</v>
      </c>
      <c r="AW248" s="20">
        <f t="shared" si="273"/>
        <v>82385306.629999995</v>
      </c>
      <c r="AX248" s="20">
        <f t="shared" si="273"/>
        <v>6648328.3300000001</v>
      </c>
      <c r="AY248" s="20">
        <f t="shared" si="230"/>
        <v>89033634.959999993</v>
      </c>
      <c r="AZ248" s="20">
        <f t="shared" si="273"/>
        <v>0</v>
      </c>
      <c r="BA248" s="20">
        <f t="shared" si="273"/>
        <v>0</v>
      </c>
      <c r="BB248" s="20">
        <f t="shared" si="273"/>
        <v>0</v>
      </c>
      <c r="BC248" s="20">
        <f t="shared" si="273"/>
        <v>0</v>
      </c>
      <c r="BD248" s="20">
        <f t="shared" si="273"/>
        <v>0</v>
      </c>
      <c r="BE248" s="20">
        <f t="shared" si="273"/>
        <v>0</v>
      </c>
      <c r="BF248" s="20">
        <f t="shared" si="273"/>
        <v>0</v>
      </c>
      <c r="BG248" s="20">
        <f t="shared" si="273"/>
        <v>0</v>
      </c>
      <c r="BH248" s="20">
        <f t="shared" si="273"/>
        <v>0</v>
      </c>
      <c r="BI248" s="20">
        <f t="shared" si="273"/>
        <v>0</v>
      </c>
      <c r="BJ248" s="20">
        <f t="shared" si="273"/>
        <v>0</v>
      </c>
      <c r="BK248" s="20">
        <f t="shared" si="273"/>
        <v>0</v>
      </c>
      <c r="BL248" s="20">
        <f t="shared" si="273"/>
        <v>0</v>
      </c>
      <c r="BM248" s="20">
        <f t="shared" si="273"/>
        <v>0</v>
      </c>
      <c r="BN248" s="20">
        <f t="shared" si="273"/>
        <v>0</v>
      </c>
      <c r="BO248" s="20">
        <f t="shared" si="273"/>
        <v>0</v>
      </c>
      <c r="BP248" s="20">
        <f t="shared" si="273"/>
        <v>0</v>
      </c>
      <c r="BQ248" s="20">
        <f t="shared" si="273"/>
        <v>0</v>
      </c>
      <c r="BR248" s="20">
        <f t="shared" si="273"/>
        <v>0</v>
      </c>
      <c r="BS248" s="20">
        <f t="shared" si="273"/>
        <v>0</v>
      </c>
      <c r="BT248" s="20">
        <f t="shared" si="273"/>
        <v>0</v>
      </c>
      <c r="BU248" s="20">
        <f t="shared" si="273"/>
        <v>0</v>
      </c>
      <c r="BV248" s="20">
        <f t="shared" si="273"/>
        <v>0</v>
      </c>
      <c r="BW248" s="20">
        <f t="shared" si="273"/>
        <v>0</v>
      </c>
      <c r="BX248" s="20">
        <f t="shared" si="273"/>
        <v>87463038.989999995</v>
      </c>
      <c r="BY248" s="20">
        <f t="shared" si="261"/>
        <v>187434403.56999999</v>
      </c>
      <c r="BZ248" s="20">
        <f t="shared" si="262"/>
        <v>203361940.63</v>
      </c>
      <c r="CA248" s="20">
        <f>CA17+CA24+CA69+CA79+CA101+CA148+CA161+CA166+CA201+CA246</f>
        <v>4060037</v>
      </c>
      <c r="CB248" s="20">
        <f t="shared" si="263"/>
        <v>862114152.43000007</v>
      </c>
      <c r="CC248" s="20">
        <f t="shared" si="266"/>
        <v>846186615.37</v>
      </c>
      <c r="CD248" s="21">
        <f t="shared" si="264"/>
        <v>0.1785857381237729</v>
      </c>
      <c r="CE248" s="21">
        <f t="shared" si="265"/>
        <v>0.19376134573996784</v>
      </c>
      <c r="CF248" s="455"/>
      <c r="CG248" s="20"/>
      <c r="CH248" s="20"/>
      <c r="CI248" s="20"/>
      <c r="CJ248" s="20"/>
      <c r="CK248" s="20"/>
      <c r="CL248" s="20"/>
      <c r="CM248" s="20"/>
      <c r="CN248" s="20"/>
      <c r="CO248" s="20"/>
      <c r="CP248" s="20"/>
      <c r="CQ248" s="20"/>
      <c r="CR248" s="20"/>
      <c r="CS248" s="20"/>
      <c r="CT248" s="20"/>
      <c r="CU248" s="20"/>
      <c r="CV248" s="20"/>
      <c r="CW248" s="20"/>
      <c r="CX248" s="20"/>
      <c r="CY248" s="20"/>
      <c r="CZ248" s="20"/>
      <c r="DA248" s="20"/>
      <c r="DB248" s="20"/>
      <c r="DC248" s="20"/>
      <c r="DD248" s="20"/>
      <c r="DE248" s="20"/>
      <c r="DF248" s="20"/>
      <c r="DG248" s="20"/>
      <c r="DH248" s="20"/>
      <c r="DI248" s="20"/>
      <c r="DJ248" s="20"/>
      <c r="DK248" s="20"/>
      <c r="DL248" s="20"/>
      <c r="DM248" s="20"/>
      <c r="DN248" s="20"/>
      <c r="DO248" s="20"/>
      <c r="DP248" s="20"/>
      <c r="DQ248" s="20"/>
      <c r="DR248" s="20"/>
      <c r="DS248" s="20"/>
      <c r="DT248" s="20"/>
      <c r="DU248" s="21"/>
      <c r="DV248" s="21"/>
      <c r="DW248" s="295"/>
      <c r="DX248" s="295"/>
      <c r="DY248" s="54"/>
      <c r="DZ248" s="64"/>
      <c r="EA248" s="319"/>
    </row>
    <row r="249" spans="1:131" s="10" customFormat="1" ht="17.25" thickTop="1" thickBot="1" x14ac:dyDescent="0.3">
      <c r="A249" s="56"/>
      <c r="B249" s="18"/>
      <c r="C249" s="56"/>
      <c r="D249" s="18"/>
      <c r="E249" s="45"/>
      <c r="F249" s="356"/>
      <c r="G249" s="356"/>
      <c r="H249" s="356"/>
      <c r="I249" s="46"/>
      <c r="J249" s="47"/>
      <c r="K249" s="45"/>
      <c r="L249" s="45"/>
      <c r="M249" s="45"/>
      <c r="N249" s="45"/>
      <c r="O249" s="45"/>
      <c r="P249" s="45"/>
      <c r="Q249" s="45"/>
      <c r="R249" s="45"/>
      <c r="S249" s="45"/>
      <c r="T249" s="12"/>
      <c r="U249" s="12"/>
      <c r="V249" s="12"/>
      <c r="W249" s="442"/>
      <c r="X249" s="442"/>
      <c r="Y249" s="13"/>
      <c r="Z249" s="25"/>
      <c r="AA249" s="444"/>
      <c r="AB249" s="24"/>
      <c r="AC249" s="54"/>
      <c r="AD249" s="54"/>
      <c r="AE249" s="54"/>
      <c r="AF249" s="54"/>
      <c r="AG249" s="54"/>
      <c r="AH249" s="54"/>
      <c r="AI249" s="54"/>
      <c r="AJ249" s="443"/>
      <c r="AK249" s="54"/>
      <c r="AL249" s="54"/>
      <c r="AM249" s="54"/>
      <c r="AN249" s="313"/>
      <c r="AO249" s="54"/>
      <c r="AP249" s="54"/>
      <c r="AQ249" s="54"/>
      <c r="AR249" s="54"/>
      <c r="AS249" s="54"/>
      <c r="AT249" s="54"/>
      <c r="AU249" s="54"/>
      <c r="AV249" s="54"/>
      <c r="AW249" s="54"/>
      <c r="AX249" s="54"/>
      <c r="AY249" s="7"/>
      <c r="AZ249" s="54"/>
      <c r="BA249" s="54"/>
      <c r="BB249" s="54"/>
      <c r="BC249" s="54"/>
      <c r="BD249" s="54"/>
      <c r="BE249" s="54"/>
      <c r="BF249" s="54"/>
      <c r="BG249" s="54"/>
      <c r="BH249" s="54"/>
      <c r="BI249" s="54"/>
      <c r="BJ249" s="54"/>
      <c r="BK249" s="54"/>
      <c r="BL249" s="54"/>
      <c r="BM249" s="54"/>
      <c r="BN249" s="54"/>
      <c r="BO249" s="54"/>
      <c r="BP249" s="54"/>
      <c r="BQ249" s="54"/>
      <c r="BR249" s="54"/>
      <c r="BS249" s="54"/>
      <c r="BT249" s="54"/>
      <c r="BU249" s="54"/>
      <c r="BV249" s="54"/>
      <c r="BW249" s="54"/>
      <c r="BX249" s="54"/>
      <c r="BY249" s="7"/>
      <c r="BZ249" s="7"/>
      <c r="CA249" s="54"/>
      <c r="CB249" s="7"/>
      <c r="CC249" s="7"/>
      <c r="CD249" s="15"/>
      <c r="CE249" s="15"/>
      <c r="CF249" s="451"/>
      <c r="CG249" s="20"/>
      <c r="CH249" s="20"/>
      <c r="CI249" s="20"/>
      <c r="CJ249" s="20"/>
      <c r="CK249" s="20"/>
      <c r="CL249" s="20"/>
      <c r="CM249" s="20"/>
      <c r="CN249" s="20"/>
      <c r="CO249" s="20"/>
      <c r="CP249" s="20"/>
      <c r="CQ249" s="20"/>
      <c r="CR249" s="20"/>
      <c r="CS249" s="20"/>
      <c r="CT249" s="20"/>
      <c r="CU249" s="20"/>
      <c r="CV249" s="20"/>
      <c r="CW249" s="20"/>
      <c r="CX249" s="20"/>
      <c r="CY249" s="20"/>
      <c r="CZ249" s="20"/>
      <c r="DA249" s="20"/>
      <c r="DB249" s="20"/>
      <c r="DC249" s="20"/>
      <c r="DD249" s="20"/>
      <c r="DE249" s="20"/>
      <c r="DF249" s="20"/>
      <c r="DG249" s="20"/>
      <c r="DH249" s="20"/>
      <c r="DI249" s="20"/>
      <c r="DJ249" s="20"/>
      <c r="DK249" s="20"/>
      <c r="DL249" s="20"/>
      <c r="DM249" s="20"/>
      <c r="DN249" s="20"/>
      <c r="DO249" s="20"/>
      <c r="DP249" s="20"/>
      <c r="DQ249" s="20"/>
      <c r="DR249" s="20"/>
      <c r="DS249" s="20"/>
      <c r="DT249" s="20"/>
      <c r="DU249" s="21"/>
      <c r="DV249" s="21"/>
      <c r="DW249" s="295"/>
      <c r="DX249" s="295"/>
      <c r="DY249" s="54"/>
      <c r="DZ249" s="64"/>
      <c r="EA249" s="319"/>
    </row>
    <row r="250" spans="1:131" s="1" customFormat="1" ht="31.5" thickTop="1" x14ac:dyDescent="0.25">
      <c r="A250" s="142" t="s">
        <v>253</v>
      </c>
      <c r="B250" s="24"/>
      <c r="C250" s="8" t="s">
        <v>626</v>
      </c>
      <c r="D250" s="24"/>
      <c r="E250" s="3">
        <v>320005</v>
      </c>
      <c r="F250" s="353">
        <v>5</v>
      </c>
      <c r="G250" s="359" t="s">
        <v>186</v>
      </c>
      <c r="H250" s="353">
        <v>1501</v>
      </c>
      <c r="I250" s="9" t="s">
        <v>246</v>
      </c>
      <c r="J250" s="10" t="s">
        <v>72</v>
      </c>
      <c r="K250" s="3">
        <v>4</v>
      </c>
      <c r="L250" s="11" t="s">
        <v>187</v>
      </c>
      <c r="M250" s="45"/>
      <c r="N250" s="11" t="s">
        <v>186</v>
      </c>
      <c r="O250" s="11" t="s">
        <v>582</v>
      </c>
      <c r="P250" s="11" t="s">
        <v>187</v>
      </c>
      <c r="Q250" s="11" t="s">
        <v>187</v>
      </c>
      <c r="R250" s="3">
        <v>270</v>
      </c>
      <c r="S250" s="3" t="s">
        <v>188</v>
      </c>
      <c r="T250" s="12" t="s">
        <v>26</v>
      </c>
      <c r="U250" s="12" t="s">
        <v>222</v>
      </c>
      <c r="V250" s="12"/>
      <c r="W250" s="12" t="s">
        <v>5</v>
      </c>
      <c r="X250" s="12"/>
      <c r="Y250" s="13" t="s">
        <v>100</v>
      </c>
      <c r="Z250" s="25" t="s">
        <v>92</v>
      </c>
      <c r="AA250" s="10" t="s">
        <v>436</v>
      </c>
      <c r="AB250" s="12" t="s">
        <v>8</v>
      </c>
      <c r="AC250" s="27"/>
      <c r="AD250" s="36"/>
      <c r="AE250" s="7"/>
      <c r="AF250" s="33"/>
      <c r="AG250" s="7">
        <f>AE250+AF250</f>
        <v>0</v>
      </c>
      <c r="AH250" s="33"/>
      <c r="AI250" s="7">
        <f>+AG250+AH250</f>
        <v>0</v>
      </c>
      <c r="AJ250" s="409"/>
      <c r="AK250" s="27">
        <v>10000000</v>
      </c>
      <c r="AL250" s="27"/>
      <c r="AM250" s="33">
        <f>10000000-AM13-AM16-AM23-AM83-AM96-AM138-AM139-AM185-AM200-AM206-AM209-AM210-AM233-AM77-AM8-AM75-AM97-AM76-AM186-AM164-AM68-AM67-AM175-AM9-AM15</f>
        <v>6936150</v>
      </c>
      <c r="AN250" s="36">
        <v>0</v>
      </c>
      <c r="AO250" s="36">
        <v>0</v>
      </c>
      <c r="AP250" s="7">
        <f>AN250+AO250</f>
        <v>0</v>
      </c>
      <c r="AQ250" s="36"/>
      <c r="AR250" s="36"/>
      <c r="AS250" s="7">
        <f>AQ250+AR250</f>
        <v>0</v>
      </c>
      <c r="AT250" s="36"/>
      <c r="AU250" s="36"/>
      <c r="AV250" s="7">
        <f>AT250+AU250</f>
        <v>0</v>
      </c>
      <c r="AW250" s="33"/>
      <c r="AX250" s="33"/>
      <c r="AY250" s="7">
        <f t="shared" si="230"/>
        <v>0</v>
      </c>
      <c r="AZ250" s="33"/>
      <c r="BA250" s="33"/>
      <c r="BB250" s="7">
        <f>AZ250+BA250</f>
        <v>0</v>
      </c>
      <c r="BC250" s="33"/>
      <c r="BD250" s="33"/>
      <c r="BE250" s="7">
        <f>BC250+BD250</f>
        <v>0</v>
      </c>
      <c r="BF250" s="33"/>
      <c r="BG250" s="33"/>
      <c r="BH250" s="7">
        <f>BF250+BG250</f>
        <v>0</v>
      </c>
      <c r="BI250" s="33"/>
      <c r="BJ250" s="33"/>
      <c r="BK250" s="7">
        <f>BI250+BJ250</f>
        <v>0</v>
      </c>
      <c r="BL250" s="33"/>
      <c r="BM250" s="33"/>
      <c r="BN250" s="7">
        <f>BL250+BM250</f>
        <v>0</v>
      </c>
      <c r="BO250" s="33"/>
      <c r="BP250" s="33"/>
      <c r="BQ250" s="7">
        <f>BO250+BP250</f>
        <v>0</v>
      </c>
      <c r="BR250" s="33"/>
      <c r="BS250" s="33"/>
      <c r="BT250" s="7">
        <f>BR250+BS250</f>
        <v>0</v>
      </c>
      <c r="BU250" s="33"/>
      <c r="BV250" s="33"/>
      <c r="BW250" s="7">
        <f>BU250+BV250</f>
        <v>0</v>
      </c>
      <c r="BX250" s="33"/>
      <c r="BY250" s="7">
        <f t="shared" si="261"/>
        <v>0</v>
      </c>
      <c r="BZ250" s="7">
        <f t="shared" si="262"/>
        <v>0</v>
      </c>
      <c r="CA250" s="33"/>
      <c r="CB250" s="7">
        <f t="shared" si="263"/>
        <v>6936150</v>
      </c>
      <c r="CC250" s="7">
        <f t="shared" si="266"/>
        <v>6936150</v>
      </c>
      <c r="CD250" s="15">
        <f t="shared" si="264"/>
        <v>0</v>
      </c>
      <c r="CE250" s="15">
        <f t="shared" si="265"/>
        <v>0</v>
      </c>
      <c r="CF250" s="450" t="s">
        <v>897</v>
      </c>
      <c r="CG250" s="36">
        <v>10000000</v>
      </c>
      <c r="CH250" s="36">
        <v>10000000</v>
      </c>
      <c r="CI250" s="36"/>
      <c r="CJ250" s="36"/>
      <c r="CK250" s="36"/>
      <c r="CL250" s="7"/>
      <c r="CM250" s="36"/>
      <c r="CN250" s="7"/>
      <c r="CO250" s="36"/>
      <c r="CP250" s="36"/>
      <c r="CQ250" s="7"/>
      <c r="CR250" s="7"/>
      <c r="CS250" s="7"/>
      <c r="CT250" s="36"/>
      <c r="CU250" s="36"/>
      <c r="CV250" s="7"/>
      <c r="CW250" s="36"/>
      <c r="CX250" s="36"/>
      <c r="CY250" s="7"/>
      <c r="CZ250" s="36"/>
      <c r="DA250" s="36"/>
      <c r="DB250" s="7"/>
      <c r="DC250" s="36"/>
      <c r="DD250" s="7"/>
      <c r="DE250" s="36"/>
      <c r="DF250" s="7"/>
      <c r="DG250" s="36"/>
      <c r="DH250" s="7"/>
      <c r="DI250" s="36"/>
      <c r="DJ250" s="7"/>
      <c r="DK250" s="36"/>
      <c r="DL250" s="7"/>
      <c r="DM250" s="36"/>
      <c r="DN250" s="7"/>
      <c r="DO250" s="36"/>
      <c r="DP250" s="14"/>
      <c r="DQ250" s="14"/>
      <c r="DR250" s="7"/>
      <c r="DS250" s="7"/>
      <c r="DT250" s="7"/>
      <c r="DU250" s="15"/>
      <c r="DV250" s="15"/>
      <c r="DW250" s="15"/>
      <c r="DX250" s="15"/>
      <c r="DY250" s="7"/>
      <c r="DZ250" s="27"/>
      <c r="EA250" s="109"/>
    </row>
    <row r="251" spans="1:131" s="10" customFormat="1" ht="16.5" thickBot="1" x14ac:dyDescent="0.3">
      <c r="A251" s="56"/>
      <c r="B251" s="18"/>
      <c r="C251" s="56"/>
      <c r="D251" s="18"/>
      <c r="E251" s="45"/>
      <c r="F251" s="356"/>
      <c r="G251" s="356"/>
      <c r="H251" s="356"/>
      <c r="I251" s="46"/>
      <c r="J251" s="47"/>
      <c r="K251" s="45"/>
      <c r="L251" s="45"/>
      <c r="M251" s="45"/>
      <c r="N251" s="45"/>
      <c r="O251" s="45"/>
      <c r="P251" s="45"/>
      <c r="Q251" s="45"/>
      <c r="R251" s="45"/>
      <c r="S251" s="45"/>
      <c r="T251" s="12"/>
      <c r="U251" s="12"/>
      <c r="V251" s="12"/>
      <c r="W251" s="442"/>
      <c r="X251" s="442"/>
      <c r="Y251" s="13"/>
      <c r="Z251" s="25"/>
      <c r="AA251" s="445"/>
      <c r="AB251" s="24"/>
      <c r="AC251" s="54"/>
      <c r="AD251" s="54"/>
      <c r="AE251" s="54"/>
      <c r="AF251" s="54"/>
      <c r="AG251" s="54"/>
      <c r="AH251" s="54"/>
      <c r="AI251" s="54"/>
      <c r="AJ251" s="443"/>
      <c r="AK251" s="54"/>
      <c r="AL251" s="54"/>
      <c r="AM251" s="54"/>
      <c r="AN251" s="313"/>
      <c r="AO251" s="54"/>
      <c r="AP251" s="54"/>
      <c r="AQ251" s="54"/>
      <c r="AR251" s="54"/>
      <c r="AS251" s="54"/>
      <c r="AT251" s="54"/>
      <c r="AU251" s="54"/>
      <c r="AV251" s="54"/>
      <c r="AW251" s="54"/>
      <c r="AX251" s="54"/>
      <c r="AY251" s="7">
        <f t="shared" si="230"/>
        <v>0</v>
      </c>
      <c r="AZ251" s="54"/>
      <c r="BA251" s="54"/>
      <c r="BB251" s="54"/>
      <c r="BC251" s="54"/>
      <c r="BD251" s="54"/>
      <c r="BE251" s="54"/>
      <c r="BF251" s="54"/>
      <c r="BG251" s="54"/>
      <c r="BH251" s="54"/>
      <c r="BI251" s="54"/>
      <c r="BJ251" s="54"/>
      <c r="BK251" s="54"/>
      <c r="BL251" s="54"/>
      <c r="BM251" s="54"/>
      <c r="BN251" s="54"/>
      <c r="BO251" s="54"/>
      <c r="BP251" s="54"/>
      <c r="BQ251" s="54"/>
      <c r="BR251" s="54"/>
      <c r="BS251" s="54"/>
      <c r="BT251" s="54"/>
      <c r="BU251" s="54"/>
      <c r="BV251" s="54"/>
      <c r="BW251" s="54"/>
      <c r="BX251" s="54"/>
      <c r="BY251" s="7"/>
      <c r="BZ251" s="7"/>
      <c r="CA251" s="54"/>
      <c r="CB251" s="7"/>
      <c r="CC251" s="7"/>
      <c r="CD251" s="15"/>
      <c r="CE251" s="15"/>
      <c r="CF251" s="451"/>
      <c r="CG251" s="20"/>
      <c r="CH251" s="20"/>
      <c r="CI251" s="20"/>
      <c r="CJ251" s="20"/>
      <c r="CK251" s="20"/>
      <c r="CL251" s="20"/>
      <c r="CM251" s="20"/>
      <c r="CN251" s="20"/>
      <c r="CO251" s="20"/>
      <c r="CP251" s="20"/>
      <c r="CQ251" s="20"/>
      <c r="CR251" s="20"/>
      <c r="CS251" s="20"/>
      <c r="CT251" s="20"/>
      <c r="CU251" s="20"/>
      <c r="CV251" s="20"/>
      <c r="CW251" s="20"/>
      <c r="CX251" s="20"/>
      <c r="CY251" s="20"/>
      <c r="CZ251" s="20"/>
      <c r="DA251" s="20"/>
      <c r="DB251" s="20"/>
      <c r="DC251" s="20"/>
      <c r="DD251" s="20"/>
      <c r="DE251" s="20"/>
      <c r="DF251" s="20"/>
      <c r="DG251" s="20"/>
      <c r="DH251" s="20"/>
      <c r="DI251" s="20"/>
      <c r="DJ251" s="20"/>
      <c r="DK251" s="20"/>
      <c r="DL251" s="20"/>
      <c r="DM251" s="20"/>
      <c r="DN251" s="20"/>
      <c r="DO251" s="20"/>
      <c r="DP251" s="20"/>
      <c r="DQ251" s="20"/>
      <c r="DR251" s="20"/>
      <c r="DS251" s="20"/>
      <c r="DT251" s="20"/>
      <c r="DU251" s="21"/>
      <c r="DV251" s="21"/>
      <c r="DW251" s="295"/>
      <c r="DX251" s="295"/>
      <c r="DY251" s="54"/>
      <c r="DZ251" s="64"/>
      <c r="EA251" s="319"/>
    </row>
    <row r="252" spans="1:131" s="10" customFormat="1" ht="17.25" thickTop="1" thickBot="1" x14ac:dyDescent="0.3">
      <c r="A252" s="56"/>
      <c r="B252" s="18"/>
      <c r="C252" s="56"/>
      <c r="D252" s="18"/>
      <c r="E252" s="57"/>
      <c r="F252" s="358"/>
      <c r="G252" s="358"/>
      <c r="H252" s="358"/>
      <c r="I252" s="55"/>
      <c r="J252" s="55"/>
      <c r="K252" s="57"/>
      <c r="L252" s="57"/>
      <c r="M252" s="57"/>
      <c r="N252" s="57"/>
      <c r="O252" s="57"/>
      <c r="P252" s="57"/>
      <c r="Q252" s="57"/>
      <c r="R252" s="57"/>
      <c r="S252" s="57"/>
      <c r="T252" s="28"/>
      <c r="U252" s="28"/>
      <c r="V252" s="28"/>
      <c r="W252" s="18"/>
      <c r="X252" s="18"/>
      <c r="Y252" s="39"/>
      <c r="Z252" s="30"/>
      <c r="AA252" s="345" t="s">
        <v>742</v>
      </c>
      <c r="AB252" s="29"/>
      <c r="AC252" s="20" t="e">
        <f t="shared" ref="AC252:AJ252" si="274">AC17+AC24+AC69+AC79+AC101+AC148+AC161+AC201+AC246</f>
        <v>#REF!</v>
      </c>
      <c r="AD252" s="20" t="e">
        <f t="shared" si="274"/>
        <v>#REF!</v>
      </c>
      <c r="AE252" s="20" t="e">
        <f t="shared" si="274"/>
        <v>#REF!</v>
      </c>
      <c r="AF252" s="20" t="e">
        <f t="shared" si="274"/>
        <v>#REF!</v>
      </c>
      <c r="AG252" s="20" t="e">
        <f t="shared" si="274"/>
        <v>#REF!</v>
      </c>
      <c r="AH252" s="20">
        <f t="shared" si="274"/>
        <v>12199892</v>
      </c>
      <c r="AI252" s="20" t="e">
        <f t="shared" si="274"/>
        <v>#REF!</v>
      </c>
      <c r="AJ252" s="407">
        <f t="shared" si="274"/>
        <v>2000000</v>
      </c>
      <c r="AK252" s="20">
        <f>AK248+AK250</f>
        <v>942007423</v>
      </c>
      <c r="AL252" s="20">
        <f t="shared" ref="AL252:CC252" si="275">AL248+AL250</f>
        <v>116774633</v>
      </c>
      <c r="AM252" s="20">
        <f t="shared" si="275"/>
        <v>1056484706</v>
      </c>
      <c r="AN252" s="20">
        <f t="shared" si="275"/>
        <v>4279296.1500000004</v>
      </c>
      <c r="AO252" s="20">
        <f t="shared" si="275"/>
        <v>305995.65000000002</v>
      </c>
      <c r="AP252" s="20">
        <f t="shared" si="275"/>
        <v>4585291.8000000007</v>
      </c>
      <c r="AQ252" s="20">
        <f t="shared" si="275"/>
        <v>36998451.879999988</v>
      </c>
      <c r="AR252" s="20">
        <f t="shared" si="275"/>
        <v>3733785.71</v>
      </c>
      <c r="AS252" s="20">
        <f t="shared" si="275"/>
        <v>40732237.589999996</v>
      </c>
      <c r="AT252" s="20">
        <f t="shared" si="275"/>
        <v>63771348.910000004</v>
      </c>
      <c r="AU252" s="20">
        <f t="shared" si="275"/>
        <v>5239427.37</v>
      </c>
      <c r="AV252" s="20">
        <f t="shared" si="275"/>
        <v>69010776.280000001</v>
      </c>
      <c r="AW252" s="20">
        <f t="shared" si="275"/>
        <v>82385306.629999995</v>
      </c>
      <c r="AX252" s="20">
        <f t="shared" si="275"/>
        <v>6648328.3300000001</v>
      </c>
      <c r="AY252" s="20">
        <f t="shared" si="230"/>
        <v>89033634.959999993</v>
      </c>
      <c r="AZ252" s="20">
        <f t="shared" si="275"/>
        <v>0</v>
      </c>
      <c r="BA252" s="20">
        <f t="shared" si="275"/>
        <v>0</v>
      </c>
      <c r="BB252" s="20">
        <f t="shared" si="275"/>
        <v>0</v>
      </c>
      <c r="BC252" s="20">
        <f t="shared" si="275"/>
        <v>0</v>
      </c>
      <c r="BD252" s="20">
        <f t="shared" si="275"/>
        <v>0</v>
      </c>
      <c r="BE252" s="20">
        <f t="shared" si="275"/>
        <v>0</v>
      </c>
      <c r="BF252" s="20">
        <f t="shared" si="275"/>
        <v>0</v>
      </c>
      <c r="BG252" s="20">
        <f t="shared" si="275"/>
        <v>0</v>
      </c>
      <c r="BH252" s="20">
        <f t="shared" si="275"/>
        <v>0</v>
      </c>
      <c r="BI252" s="20">
        <f t="shared" si="275"/>
        <v>0</v>
      </c>
      <c r="BJ252" s="20">
        <f t="shared" si="275"/>
        <v>0</v>
      </c>
      <c r="BK252" s="20">
        <f t="shared" si="275"/>
        <v>0</v>
      </c>
      <c r="BL252" s="20">
        <f t="shared" si="275"/>
        <v>0</v>
      </c>
      <c r="BM252" s="20">
        <f t="shared" si="275"/>
        <v>0</v>
      </c>
      <c r="BN252" s="20">
        <f t="shared" si="275"/>
        <v>0</v>
      </c>
      <c r="BO252" s="20">
        <f t="shared" si="275"/>
        <v>0</v>
      </c>
      <c r="BP252" s="20">
        <f t="shared" si="275"/>
        <v>0</v>
      </c>
      <c r="BQ252" s="20">
        <f t="shared" si="275"/>
        <v>0</v>
      </c>
      <c r="BR252" s="20">
        <f t="shared" si="275"/>
        <v>0</v>
      </c>
      <c r="BS252" s="20">
        <f t="shared" si="275"/>
        <v>0</v>
      </c>
      <c r="BT252" s="20">
        <f t="shared" si="275"/>
        <v>0</v>
      </c>
      <c r="BU252" s="20">
        <f t="shared" si="275"/>
        <v>0</v>
      </c>
      <c r="BV252" s="20">
        <f t="shared" si="275"/>
        <v>0</v>
      </c>
      <c r="BW252" s="20">
        <f t="shared" si="275"/>
        <v>0</v>
      </c>
      <c r="BX252" s="20">
        <f t="shared" si="275"/>
        <v>87463038.989999995</v>
      </c>
      <c r="BY252" s="20">
        <f t="shared" si="275"/>
        <v>187434403.56999999</v>
      </c>
      <c r="BZ252" s="20">
        <f t="shared" si="275"/>
        <v>203361940.63</v>
      </c>
      <c r="CA252" s="20">
        <f t="shared" si="275"/>
        <v>4060037</v>
      </c>
      <c r="CB252" s="20">
        <f t="shared" si="275"/>
        <v>869050302.43000007</v>
      </c>
      <c r="CC252" s="20">
        <f t="shared" si="275"/>
        <v>853122765.37</v>
      </c>
      <c r="CD252" s="21">
        <f t="shared" si="264"/>
        <v>0.17741326732466678</v>
      </c>
      <c r="CE252" s="21">
        <f t="shared" si="265"/>
        <v>0.1924892423667513</v>
      </c>
      <c r="CF252" s="455"/>
      <c r="CG252" s="20" t="e">
        <f>CG17+CG24+CG69+CG79+CG101+CG148+CG161+CG201+CG246+CG166</f>
        <v>#REF!</v>
      </c>
      <c r="CH252" s="20" t="e">
        <f>CH17+CH24+CH69+CH79+CH101+CH148+CH161+CH201+CH246+CH166</f>
        <v>#REF!</v>
      </c>
      <c r="CI252" s="20" t="e">
        <f t="shared" ref="CI252:DT252" si="276">CI17+CI24+CI69+CI79+CI101+CI148+CI161+CI201+CI246</f>
        <v>#REF!</v>
      </c>
      <c r="CJ252" s="20" t="e">
        <f t="shared" si="276"/>
        <v>#REF!</v>
      </c>
      <c r="CK252" s="20" t="e">
        <f t="shared" si="276"/>
        <v>#REF!</v>
      </c>
      <c r="CL252" s="20" t="e">
        <f t="shared" si="276"/>
        <v>#REF!</v>
      </c>
      <c r="CM252" s="20" t="e">
        <f t="shared" si="276"/>
        <v>#REF!</v>
      </c>
      <c r="CN252" s="20" t="e">
        <f t="shared" si="276"/>
        <v>#REF!</v>
      </c>
      <c r="CO252" s="20" t="e">
        <f t="shared" si="276"/>
        <v>#REF!</v>
      </c>
      <c r="CP252" s="20" t="e">
        <f t="shared" si="276"/>
        <v>#REF!</v>
      </c>
      <c r="CQ252" s="20" t="e">
        <f t="shared" si="276"/>
        <v>#REF!</v>
      </c>
      <c r="CR252" s="20" t="e">
        <f t="shared" si="276"/>
        <v>#REF!</v>
      </c>
      <c r="CS252" s="20" t="e">
        <f t="shared" si="276"/>
        <v>#REF!</v>
      </c>
      <c r="CT252" s="20" t="e">
        <f t="shared" si="276"/>
        <v>#REF!</v>
      </c>
      <c r="CU252" s="20" t="e">
        <f t="shared" si="276"/>
        <v>#REF!</v>
      </c>
      <c r="CV252" s="20" t="e">
        <f t="shared" si="276"/>
        <v>#REF!</v>
      </c>
      <c r="CW252" s="20" t="e">
        <f t="shared" si="276"/>
        <v>#REF!</v>
      </c>
      <c r="CX252" s="20" t="e">
        <f t="shared" si="276"/>
        <v>#REF!</v>
      </c>
      <c r="CY252" s="20" t="e">
        <f t="shared" si="276"/>
        <v>#REF!</v>
      </c>
      <c r="CZ252" s="20" t="e">
        <f t="shared" si="276"/>
        <v>#REF!</v>
      </c>
      <c r="DA252" s="20" t="e">
        <f t="shared" si="276"/>
        <v>#REF!</v>
      </c>
      <c r="DB252" s="20" t="e">
        <f t="shared" si="276"/>
        <v>#REF!</v>
      </c>
      <c r="DC252" s="20" t="e">
        <f t="shared" si="276"/>
        <v>#REF!</v>
      </c>
      <c r="DD252" s="20" t="e">
        <f t="shared" si="276"/>
        <v>#REF!</v>
      </c>
      <c r="DE252" s="20" t="e">
        <f t="shared" si="276"/>
        <v>#REF!</v>
      </c>
      <c r="DF252" s="20" t="e">
        <f t="shared" si="276"/>
        <v>#REF!</v>
      </c>
      <c r="DG252" s="20" t="e">
        <f t="shared" si="276"/>
        <v>#REF!</v>
      </c>
      <c r="DH252" s="20" t="e">
        <f t="shared" si="276"/>
        <v>#REF!</v>
      </c>
      <c r="DI252" s="20" t="e">
        <f t="shared" si="276"/>
        <v>#REF!</v>
      </c>
      <c r="DJ252" s="20" t="e">
        <f t="shared" si="276"/>
        <v>#REF!</v>
      </c>
      <c r="DK252" s="20" t="e">
        <f t="shared" si="276"/>
        <v>#REF!</v>
      </c>
      <c r="DL252" s="20" t="e">
        <f t="shared" si="276"/>
        <v>#REF!</v>
      </c>
      <c r="DM252" s="20" t="e">
        <f t="shared" si="276"/>
        <v>#REF!</v>
      </c>
      <c r="DN252" s="20" t="e">
        <f t="shared" si="276"/>
        <v>#REF!</v>
      </c>
      <c r="DO252" s="20" t="e">
        <f t="shared" si="276"/>
        <v>#REF!</v>
      </c>
      <c r="DP252" s="20" t="e">
        <f t="shared" si="276"/>
        <v>#REF!</v>
      </c>
      <c r="DQ252" s="20" t="e">
        <f t="shared" si="276"/>
        <v>#REF!</v>
      </c>
      <c r="DR252" s="20" t="e">
        <f t="shared" si="276"/>
        <v>#REF!</v>
      </c>
      <c r="DS252" s="20" t="e">
        <f t="shared" si="276"/>
        <v>#REF!</v>
      </c>
      <c r="DT252" s="20" t="e">
        <f t="shared" si="276"/>
        <v>#REF!</v>
      </c>
      <c r="DU252" s="21" t="e">
        <f>DP252/AG252</f>
        <v>#REF!</v>
      </c>
      <c r="DV252" s="21" t="e">
        <f>DQ252/AG252</f>
        <v>#REF!</v>
      </c>
      <c r="DW252" s="295"/>
      <c r="DX252" s="295"/>
      <c r="DY252" s="54"/>
      <c r="DZ252" s="64"/>
      <c r="EA252" s="319"/>
    </row>
    <row r="253" spans="1:131" s="10" customFormat="1" ht="16.5" thickTop="1" x14ac:dyDescent="0.25">
      <c r="A253" s="47"/>
      <c r="B253" s="47"/>
      <c r="C253" s="47"/>
      <c r="D253" s="47"/>
      <c r="E253" s="329"/>
      <c r="F253" s="329"/>
      <c r="G253" s="329"/>
      <c r="H253" s="329"/>
      <c r="I253" s="47"/>
      <c r="J253" s="47"/>
      <c r="K253" s="329"/>
      <c r="L253" s="329"/>
      <c r="M253" s="329"/>
      <c r="N253" s="329"/>
      <c r="O253" s="329"/>
      <c r="P253" s="329"/>
      <c r="Q253" s="329"/>
      <c r="R253" s="329"/>
      <c r="S253" s="329"/>
      <c r="W253" s="47"/>
      <c r="X253" s="47"/>
      <c r="Y253" s="34"/>
      <c r="Z253" s="34"/>
      <c r="AA253" s="330"/>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8"/>
      <c r="AY253" s="98"/>
      <c r="AZ253" s="98"/>
      <c r="BA253" s="98"/>
      <c r="BB253" s="98"/>
      <c r="BC253" s="98"/>
      <c r="BD253" s="98"/>
      <c r="BE253" s="98"/>
      <c r="BF253" s="98"/>
      <c r="BG253" s="98"/>
      <c r="BH253" s="98"/>
      <c r="BI253" s="98"/>
      <c r="BJ253" s="98"/>
      <c r="BK253" s="98"/>
      <c r="BL253" s="98"/>
      <c r="BM253" s="98"/>
      <c r="BN253" s="98"/>
      <c r="BO253" s="98"/>
      <c r="BP253" s="98"/>
      <c r="BQ253" s="98"/>
      <c r="BR253" s="98"/>
      <c r="BS253" s="98"/>
      <c r="BT253" s="98"/>
      <c r="BU253" s="98"/>
      <c r="BV253" s="98"/>
      <c r="BW253" s="98"/>
      <c r="BX253" s="98"/>
      <c r="BY253" s="98"/>
      <c r="BZ253" s="98"/>
      <c r="CA253" s="98"/>
      <c r="CB253" s="98"/>
      <c r="CC253" s="98"/>
      <c r="CD253" s="331"/>
      <c r="CE253" s="331"/>
      <c r="CF253" s="441"/>
      <c r="CG253" s="98"/>
      <c r="CH253" s="98"/>
      <c r="CI253" s="98"/>
      <c r="CJ253" s="98"/>
      <c r="CK253" s="98"/>
      <c r="CL253" s="98"/>
      <c r="CM253" s="98"/>
      <c r="CN253" s="98"/>
      <c r="CO253" s="98"/>
      <c r="CP253" s="98"/>
      <c r="CQ253" s="98"/>
      <c r="CR253" s="98"/>
      <c r="CS253" s="98"/>
      <c r="CT253" s="98"/>
      <c r="CU253" s="98"/>
      <c r="CV253" s="98"/>
      <c r="CW253" s="98"/>
      <c r="CX253" s="98"/>
      <c r="CY253" s="98"/>
      <c r="CZ253" s="98"/>
      <c r="DA253" s="98"/>
      <c r="DB253" s="98"/>
      <c r="DC253" s="98"/>
      <c r="DD253" s="98"/>
      <c r="DE253" s="98"/>
      <c r="DF253" s="98"/>
      <c r="DG253" s="98"/>
      <c r="DH253" s="98"/>
      <c r="DI253" s="98"/>
      <c r="DJ253" s="98"/>
      <c r="DK253" s="98"/>
      <c r="DL253" s="98"/>
      <c r="DM253" s="98"/>
      <c r="DN253" s="98"/>
      <c r="DO253" s="98"/>
      <c r="DP253" s="98"/>
      <c r="DQ253" s="98"/>
      <c r="DR253" s="98"/>
      <c r="DS253" s="98"/>
      <c r="DT253" s="98"/>
      <c r="DU253" s="331"/>
      <c r="DV253" s="331"/>
      <c r="DW253" s="331"/>
      <c r="DX253" s="331"/>
      <c r="DY253" s="98"/>
      <c r="DZ253" s="108"/>
      <c r="EA253" s="319"/>
    </row>
    <row r="254" spans="1:131" s="10" customFormat="1" hidden="1" x14ac:dyDescent="0.25">
      <c r="A254" s="47"/>
      <c r="B254" s="47"/>
      <c r="C254" s="47"/>
      <c r="D254" s="47"/>
      <c r="E254" s="329"/>
      <c r="F254" s="329"/>
      <c r="G254" s="329"/>
      <c r="H254" s="329"/>
      <c r="I254" s="47"/>
      <c r="J254" s="47"/>
      <c r="K254" s="329"/>
      <c r="L254" s="329"/>
      <c r="M254" s="329"/>
      <c r="N254" s="329"/>
      <c r="O254" s="329"/>
      <c r="P254" s="329"/>
      <c r="Q254" s="329"/>
      <c r="R254" s="329"/>
      <c r="S254" s="329"/>
      <c r="W254" s="47"/>
      <c r="X254" s="47"/>
      <c r="Y254" s="34"/>
      <c r="Z254" s="34"/>
      <c r="AA254" s="330"/>
      <c r="AC254" s="98"/>
      <c r="AD254" s="98"/>
      <c r="AE254" s="98"/>
      <c r="AF254" s="98"/>
      <c r="AG254" s="98"/>
      <c r="AH254" s="98"/>
      <c r="AI254" s="98"/>
      <c r="AJ254" s="98"/>
      <c r="AK254" s="98">
        <v>91458961</v>
      </c>
      <c r="AL254" s="98"/>
      <c r="AM254" s="446"/>
      <c r="AN254" s="98"/>
      <c r="AO254" s="98"/>
      <c r="AP254" s="98"/>
      <c r="AQ254" s="98"/>
      <c r="AR254" s="98"/>
      <c r="AS254" s="98"/>
      <c r="AT254" s="98"/>
      <c r="AU254" s="98"/>
      <c r="AV254" s="98"/>
      <c r="AW254" s="98"/>
      <c r="AX254" s="98"/>
      <c r="AY254" s="98"/>
      <c r="AZ254" s="98"/>
      <c r="BA254" s="98"/>
      <c r="BB254" s="98"/>
      <c r="BC254" s="98"/>
      <c r="BD254" s="98"/>
      <c r="BE254" s="98"/>
      <c r="BF254" s="98"/>
      <c r="BG254" s="98"/>
      <c r="BH254" s="98"/>
      <c r="BI254" s="98"/>
      <c r="BJ254" s="98"/>
      <c r="BK254" s="98"/>
      <c r="BL254" s="98"/>
      <c r="BM254" s="98"/>
      <c r="BN254" s="98"/>
      <c r="BO254" s="98"/>
      <c r="BP254" s="98"/>
      <c r="BQ254" s="98"/>
      <c r="BR254" s="98"/>
      <c r="BS254" s="98"/>
      <c r="BT254" s="98"/>
      <c r="BU254" s="98"/>
      <c r="BV254" s="98"/>
      <c r="BW254" s="98"/>
      <c r="BX254" s="98"/>
      <c r="BY254" s="98"/>
      <c r="BZ254" s="98"/>
      <c r="CA254" s="98"/>
      <c r="CB254" s="98"/>
      <c r="CC254" s="98"/>
      <c r="CD254" s="331"/>
      <c r="CE254" s="331"/>
      <c r="CF254" s="441"/>
      <c r="CG254" s="98"/>
      <c r="CH254" s="98"/>
      <c r="CI254" s="98"/>
      <c r="CJ254" s="98"/>
      <c r="CK254" s="98"/>
      <c r="CL254" s="98"/>
      <c r="CM254" s="98"/>
      <c r="CN254" s="98"/>
      <c r="CO254" s="98"/>
      <c r="CP254" s="98"/>
      <c r="CQ254" s="98"/>
      <c r="CR254" s="98"/>
      <c r="CS254" s="98"/>
      <c r="CT254" s="98"/>
      <c r="CU254" s="98"/>
      <c r="CV254" s="98"/>
      <c r="CW254" s="98"/>
      <c r="CX254" s="98"/>
      <c r="CY254" s="98"/>
      <c r="CZ254" s="98"/>
      <c r="DA254" s="98"/>
      <c r="DB254" s="98"/>
      <c r="DC254" s="98"/>
      <c r="DD254" s="98"/>
      <c r="DE254" s="98"/>
      <c r="DF254" s="98"/>
      <c r="DG254" s="98"/>
      <c r="DH254" s="98"/>
      <c r="DI254" s="98"/>
      <c r="DJ254" s="98"/>
      <c r="DK254" s="98"/>
      <c r="DL254" s="98"/>
      <c r="DM254" s="98"/>
      <c r="DN254" s="98"/>
      <c r="DO254" s="98"/>
      <c r="DP254" s="98"/>
      <c r="DQ254" s="98"/>
      <c r="DR254" s="98"/>
      <c r="DS254" s="98"/>
      <c r="DT254" s="98"/>
      <c r="DU254" s="331"/>
      <c r="DV254" s="331"/>
      <c r="DW254" s="331"/>
      <c r="DX254" s="331"/>
      <c r="DY254" s="98"/>
      <c r="DZ254" s="108"/>
      <c r="EA254" s="319"/>
    </row>
    <row r="255" spans="1:131" s="10" customFormat="1" hidden="1" x14ac:dyDescent="0.25">
      <c r="A255" s="47"/>
      <c r="B255" s="47"/>
      <c r="C255" s="47"/>
      <c r="D255" s="47"/>
      <c r="E255" s="329"/>
      <c r="F255" s="329"/>
      <c r="G255" s="329"/>
      <c r="H255" s="329"/>
      <c r="I255" s="47"/>
      <c r="J255" s="47"/>
      <c r="K255" s="329"/>
      <c r="L255" s="329"/>
      <c r="M255" s="329"/>
      <c r="N255" s="329"/>
      <c r="O255" s="329"/>
      <c r="P255" s="329"/>
      <c r="Q255" s="329"/>
      <c r="R255" s="329"/>
      <c r="S255" s="329"/>
      <c r="W255" s="47"/>
      <c r="X255" s="47"/>
      <c r="Y255" s="34"/>
      <c r="Z255" s="34"/>
      <c r="AA255" s="330"/>
      <c r="AC255" s="98"/>
      <c r="AD255" s="98"/>
      <c r="AE255" s="98"/>
      <c r="AF255" s="98"/>
      <c r="AG255" s="98"/>
      <c r="AH255" s="98"/>
      <c r="AI255" s="98"/>
      <c r="AJ255" s="98"/>
      <c r="AK255" s="98">
        <v>106541039</v>
      </c>
      <c r="AL255" s="98"/>
      <c r="AM255" s="98"/>
      <c r="AN255" s="98"/>
      <c r="AO255" s="98"/>
      <c r="AP255" s="98"/>
      <c r="AQ255" s="98"/>
      <c r="AR255" s="98"/>
      <c r="AS255" s="98"/>
      <c r="AT255" s="98"/>
      <c r="AU255" s="98"/>
      <c r="AV255" s="98"/>
      <c r="AW255" s="98"/>
      <c r="AX255" s="98"/>
      <c r="AY255" s="98"/>
      <c r="AZ255" s="98"/>
      <c r="BA255" s="98"/>
      <c r="BB255" s="98"/>
      <c r="BC255" s="98"/>
      <c r="BD255" s="98"/>
      <c r="BE255" s="98"/>
      <c r="BF255" s="98"/>
      <c r="BG255" s="98"/>
      <c r="BH255" s="98"/>
      <c r="BI255" s="98"/>
      <c r="BJ255" s="98"/>
      <c r="BK255" s="98"/>
      <c r="BL255" s="98"/>
      <c r="BM255" s="98"/>
      <c r="BN255" s="98"/>
      <c r="BO255" s="98"/>
      <c r="BP255" s="98"/>
      <c r="BQ255" s="98"/>
      <c r="BR255" s="98"/>
      <c r="BS255" s="98"/>
      <c r="BT255" s="98"/>
      <c r="BU255" s="98"/>
      <c r="BV255" s="98"/>
      <c r="BW255" s="98"/>
      <c r="BX255" s="98"/>
      <c r="BY255" s="98"/>
      <c r="BZ255" s="98"/>
      <c r="CA255" s="98"/>
      <c r="CB255" s="98"/>
      <c r="CC255" s="98"/>
      <c r="CD255" s="331"/>
      <c r="CE255" s="331"/>
      <c r="CF255" s="441"/>
      <c r="CG255" s="98"/>
      <c r="CH255" s="98"/>
      <c r="CI255" s="98"/>
      <c r="CJ255" s="98"/>
      <c r="CK255" s="98"/>
      <c r="CL255" s="98"/>
      <c r="CM255" s="98"/>
      <c r="CN255" s="98"/>
      <c r="CO255" s="98"/>
      <c r="CP255" s="98"/>
      <c r="CQ255" s="98"/>
      <c r="CR255" s="98"/>
      <c r="CS255" s="98"/>
      <c r="CT255" s="98"/>
      <c r="CU255" s="98"/>
      <c r="CV255" s="98"/>
      <c r="CW255" s="98"/>
      <c r="CX255" s="98"/>
      <c r="CY255" s="98"/>
      <c r="CZ255" s="98"/>
      <c r="DA255" s="98"/>
      <c r="DB255" s="98"/>
      <c r="DC255" s="98"/>
      <c r="DD255" s="98"/>
      <c r="DE255" s="98"/>
      <c r="DF255" s="98"/>
      <c r="DG255" s="98"/>
      <c r="DH255" s="98"/>
      <c r="DI255" s="98"/>
      <c r="DJ255" s="98"/>
      <c r="DK255" s="98"/>
      <c r="DL255" s="98"/>
      <c r="DM255" s="98"/>
      <c r="DN255" s="98"/>
      <c r="DO255" s="98"/>
      <c r="DP255" s="98"/>
      <c r="DQ255" s="98"/>
      <c r="DR255" s="98"/>
      <c r="DS255" s="98"/>
      <c r="DT255" s="98"/>
      <c r="DU255" s="331"/>
      <c r="DV255" s="331"/>
      <c r="DW255" s="331"/>
      <c r="DX255" s="331"/>
      <c r="DY255" s="98"/>
      <c r="DZ255" s="108"/>
      <c r="EA255" s="319"/>
    </row>
    <row r="256" spans="1:131" s="10" customFormat="1" hidden="1" x14ac:dyDescent="0.25">
      <c r="A256" s="47"/>
      <c r="B256" s="47"/>
      <c r="C256" s="47"/>
      <c r="D256" s="47"/>
      <c r="E256" s="329"/>
      <c r="F256" s="329"/>
      <c r="G256" s="329"/>
      <c r="H256" s="329"/>
      <c r="I256" s="47"/>
      <c r="J256" s="47"/>
      <c r="K256" s="329"/>
      <c r="L256" s="329"/>
      <c r="M256" s="329"/>
      <c r="N256" s="329"/>
      <c r="O256" s="329"/>
      <c r="P256" s="329"/>
      <c r="Q256" s="329"/>
      <c r="R256" s="329"/>
      <c r="S256" s="329"/>
      <c r="W256" s="47"/>
      <c r="X256" s="47"/>
      <c r="Y256" s="34"/>
      <c r="Z256" s="34"/>
      <c r="AA256" s="330"/>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8"/>
      <c r="AY256" s="98"/>
      <c r="AZ256" s="98"/>
      <c r="BA256" s="98"/>
      <c r="BB256" s="98"/>
      <c r="BC256" s="98"/>
      <c r="BD256" s="98"/>
      <c r="BE256" s="98"/>
      <c r="BF256" s="98"/>
      <c r="BG256" s="98"/>
      <c r="BH256" s="98"/>
      <c r="BI256" s="98"/>
      <c r="BJ256" s="98"/>
      <c r="BK256" s="98"/>
      <c r="BL256" s="98"/>
      <c r="BM256" s="98"/>
      <c r="BN256" s="98"/>
      <c r="BO256" s="98"/>
      <c r="BP256" s="98"/>
      <c r="BQ256" s="98"/>
      <c r="BR256" s="98"/>
      <c r="BS256" s="98"/>
      <c r="BT256" s="98"/>
      <c r="BU256" s="98"/>
      <c r="BV256" s="98"/>
      <c r="BW256" s="98"/>
      <c r="BX256" s="98"/>
      <c r="BY256" s="98"/>
      <c r="BZ256" s="98"/>
      <c r="CA256" s="98"/>
      <c r="CB256" s="98"/>
      <c r="CC256" s="98"/>
      <c r="CD256" s="98"/>
      <c r="CE256" s="98"/>
      <c r="CF256" s="409"/>
      <c r="CG256" s="98"/>
      <c r="CH256" s="98"/>
      <c r="CI256" s="98"/>
      <c r="CJ256" s="98"/>
      <c r="CK256" s="98"/>
      <c r="CL256" s="98"/>
      <c r="CM256" s="98"/>
      <c r="CN256" s="98"/>
      <c r="CO256" s="98"/>
      <c r="CP256" s="98"/>
      <c r="CQ256" s="98"/>
      <c r="CR256" s="98"/>
      <c r="CS256" s="98"/>
      <c r="CT256" s="98"/>
      <c r="CU256" s="98"/>
      <c r="CV256" s="98"/>
      <c r="CW256" s="98"/>
      <c r="CX256" s="98"/>
      <c r="CY256" s="98"/>
      <c r="CZ256" s="98"/>
      <c r="DA256" s="98"/>
      <c r="DB256" s="98"/>
      <c r="DC256" s="98"/>
      <c r="DD256" s="98"/>
      <c r="DE256" s="98"/>
      <c r="DF256" s="98"/>
      <c r="DG256" s="98"/>
      <c r="DH256" s="98"/>
      <c r="DI256" s="98"/>
      <c r="DJ256" s="98"/>
      <c r="DK256" s="98"/>
      <c r="DL256" s="98"/>
      <c r="DM256" s="98"/>
      <c r="DN256" s="98"/>
      <c r="DO256" s="98"/>
      <c r="DP256" s="98"/>
      <c r="DQ256" s="98"/>
      <c r="DR256" s="98"/>
      <c r="DS256" s="98"/>
      <c r="DT256" s="98"/>
      <c r="DU256" s="331"/>
      <c r="DV256" s="331"/>
      <c r="DW256" s="331"/>
      <c r="DX256" s="331"/>
      <c r="DY256" s="98"/>
      <c r="DZ256" s="108"/>
      <c r="EA256" s="319"/>
    </row>
    <row r="257" spans="1:131" s="10" customFormat="1" ht="16.5" hidden="1" thickBot="1" x14ac:dyDescent="0.3">
      <c r="A257" s="47"/>
      <c r="B257" s="47"/>
      <c r="C257" s="47"/>
      <c r="D257" s="47"/>
      <c r="E257" s="329"/>
      <c r="F257" s="329"/>
      <c r="G257" s="329"/>
      <c r="H257" s="329"/>
      <c r="I257" s="47"/>
      <c r="J257" s="47"/>
      <c r="K257" s="329"/>
      <c r="L257" s="329"/>
      <c r="M257" s="329"/>
      <c r="N257" s="329"/>
      <c r="O257" s="329"/>
      <c r="P257" s="329"/>
      <c r="Q257" s="329"/>
      <c r="R257" s="329"/>
      <c r="S257" s="329"/>
      <c r="W257" s="47"/>
      <c r="X257" s="47"/>
      <c r="Y257" s="34"/>
      <c r="Z257" s="34"/>
      <c r="AA257" s="330"/>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8"/>
      <c r="AY257" s="98"/>
      <c r="AZ257" s="98"/>
      <c r="BA257" s="98"/>
      <c r="BB257" s="98"/>
      <c r="BC257" s="98"/>
      <c r="BD257" s="98"/>
      <c r="BE257" s="98"/>
      <c r="BF257" s="98"/>
      <c r="BG257" s="98"/>
      <c r="BH257" s="98"/>
      <c r="BI257" s="98"/>
      <c r="BJ257" s="98"/>
      <c r="BK257" s="98"/>
      <c r="BL257" s="98"/>
      <c r="BM257" s="98"/>
      <c r="BN257" s="98"/>
      <c r="BO257" s="98"/>
      <c r="BP257" s="98"/>
      <c r="BQ257" s="98"/>
      <c r="BR257" s="98"/>
      <c r="BS257" s="98"/>
      <c r="BT257" s="98"/>
      <c r="BU257" s="98"/>
      <c r="BV257" s="98"/>
      <c r="BW257" s="98"/>
      <c r="BX257" s="98"/>
      <c r="BY257" s="98"/>
      <c r="BZ257" s="98"/>
      <c r="CA257" s="98"/>
      <c r="CB257" s="98"/>
      <c r="CC257" s="98"/>
      <c r="CD257" s="98"/>
      <c r="CE257" s="98"/>
      <c r="CF257" s="409"/>
      <c r="CG257" s="98"/>
      <c r="CH257" s="98"/>
      <c r="CI257" s="98"/>
      <c r="CJ257" s="98"/>
      <c r="CK257" s="98"/>
      <c r="CL257" s="98"/>
      <c r="CM257" s="98"/>
      <c r="CN257" s="98"/>
      <c r="CO257" s="98"/>
      <c r="CP257" s="98"/>
      <c r="CQ257" s="98"/>
      <c r="CR257" s="98"/>
      <c r="CS257" s="98"/>
      <c r="CT257" s="98"/>
      <c r="CU257" s="98"/>
      <c r="CV257" s="98"/>
      <c r="CW257" s="98"/>
      <c r="CX257" s="98"/>
      <c r="CY257" s="98"/>
      <c r="CZ257" s="98"/>
      <c r="DA257" s="98"/>
      <c r="DB257" s="98"/>
      <c r="DC257" s="98"/>
      <c r="DD257" s="98"/>
      <c r="DE257" s="98"/>
      <c r="DF257" s="98"/>
      <c r="DG257" s="98"/>
      <c r="DH257" s="98"/>
      <c r="DI257" s="98"/>
      <c r="DJ257" s="98"/>
      <c r="DK257" s="98"/>
      <c r="DL257" s="98"/>
      <c r="DM257" s="98"/>
      <c r="DN257" s="98"/>
      <c r="DO257" s="98"/>
      <c r="DP257" s="98"/>
      <c r="DQ257" s="98"/>
      <c r="DR257" s="98"/>
      <c r="DS257" s="98"/>
      <c r="DT257" s="98"/>
      <c r="DU257" s="331"/>
      <c r="DV257" s="331"/>
      <c r="DW257" s="331"/>
      <c r="DX257" s="331"/>
      <c r="DY257" s="98"/>
      <c r="DZ257" s="108"/>
      <c r="EA257" s="319"/>
    </row>
    <row r="258" spans="1:131" s="10" customFormat="1" ht="16.5" hidden="1" thickBot="1" x14ac:dyDescent="0.25">
      <c r="A258" s="460"/>
      <c r="B258" s="461"/>
      <c r="C258" s="460"/>
      <c r="D258" s="461"/>
      <c r="E258" s="462"/>
      <c r="F258" s="462"/>
      <c r="G258" s="462"/>
      <c r="H258" s="462"/>
      <c r="I258" s="461"/>
      <c r="J258" s="461"/>
      <c r="K258" s="462"/>
      <c r="L258" s="462"/>
      <c r="M258" s="462"/>
      <c r="N258" s="462"/>
      <c r="O258" s="462"/>
      <c r="P258" s="462"/>
      <c r="Q258" s="462"/>
      <c r="R258" s="462"/>
      <c r="S258" s="462"/>
      <c r="T258" s="463"/>
      <c r="U258" s="463"/>
      <c r="V258" s="463"/>
      <c r="W258" s="461"/>
      <c r="X258" s="461"/>
      <c r="Y258" s="464"/>
      <c r="Z258" s="464"/>
      <c r="AA258" s="465" t="s">
        <v>516</v>
      </c>
      <c r="AB258" s="463"/>
      <c r="AC258" s="466" t="e">
        <f>+#REF!-#REF!</f>
        <v>#REF!</v>
      </c>
      <c r="AD258" s="466"/>
      <c r="AE258" s="467"/>
      <c r="AF258" s="467"/>
      <c r="AG258" s="467"/>
      <c r="AH258" s="467"/>
      <c r="AI258" s="467"/>
      <c r="AJ258" s="467"/>
      <c r="AK258" s="467"/>
      <c r="AL258" s="467"/>
      <c r="AM258" s="467"/>
      <c r="AN258" s="467"/>
      <c r="AO258" s="467"/>
      <c r="AP258" s="467"/>
      <c r="AQ258" s="467"/>
      <c r="AR258" s="467"/>
      <c r="AS258" s="467"/>
      <c r="AT258" s="467"/>
      <c r="AU258" s="467"/>
      <c r="AV258" s="467"/>
      <c r="AW258" s="467"/>
      <c r="AX258" s="467"/>
      <c r="AY258" s="467"/>
      <c r="AZ258" s="467"/>
      <c r="BA258" s="467"/>
      <c r="BB258" s="467"/>
      <c r="BC258" s="467"/>
      <c r="BD258" s="467"/>
      <c r="BE258" s="467"/>
      <c r="BF258" s="467"/>
      <c r="BG258" s="467"/>
      <c r="BH258" s="467"/>
      <c r="BI258" s="467"/>
      <c r="BJ258" s="467"/>
      <c r="BK258" s="467"/>
      <c r="BL258" s="467"/>
      <c r="BM258" s="467"/>
      <c r="BN258" s="467"/>
      <c r="BO258" s="467"/>
      <c r="BP258" s="467"/>
      <c r="BQ258" s="467"/>
      <c r="BR258" s="467"/>
      <c r="BS258" s="467"/>
      <c r="BT258" s="467"/>
      <c r="BU258" s="467"/>
      <c r="BV258" s="467"/>
      <c r="BW258" s="467"/>
      <c r="BX258" s="467"/>
      <c r="BY258" s="467"/>
      <c r="BZ258" s="467"/>
      <c r="CA258" s="467"/>
      <c r="CB258" s="467"/>
      <c r="CC258" s="467"/>
      <c r="CD258" s="467"/>
      <c r="CE258" s="467"/>
      <c r="CF258" s="467"/>
      <c r="CG258" s="466"/>
      <c r="CH258" s="468"/>
      <c r="CI258" s="73"/>
      <c r="CJ258" s="73"/>
      <c r="CK258" s="72"/>
      <c r="CL258" s="72"/>
      <c r="CM258" s="72"/>
      <c r="CN258" s="72"/>
      <c r="CO258" s="72"/>
      <c r="CP258" s="72"/>
      <c r="CQ258" s="73"/>
      <c r="CR258" s="73"/>
      <c r="CS258" s="73"/>
      <c r="CT258" s="72"/>
      <c r="CU258" s="72"/>
      <c r="CV258" s="72"/>
      <c r="CW258" s="72"/>
      <c r="CX258" s="72"/>
      <c r="CY258" s="72"/>
      <c r="CZ258" s="72"/>
      <c r="DA258" s="72"/>
      <c r="DB258" s="72"/>
      <c r="DC258" s="72"/>
      <c r="DD258" s="72"/>
      <c r="DE258" s="72"/>
      <c r="DF258" s="72"/>
      <c r="DG258" s="72"/>
      <c r="DH258" s="72"/>
      <c r="DI258" s="72"/>
      <c r="DJ258" s="72"/>
      <c r="DK258" s="72"/>
      <c r="DL258" s="72"/>
      <c r="DM258" s="72"/>
      <c r="DN258" s="72"/>
      <c r="DO258" s="72"/>
      <c r="DP258" s="75"/>
      <c r="DQ258" s="76"/>
      <c r="DR258" s="77"/>
      <c r="DS258" s="72"/>
      <c r="DT258" s="409"/>
      <c r="DU258" s="72"/>
      <c r="DV258" s="73"/>
      <c r="DW258" s="73"/>
      <c r="DX258" s="73"/>
      <c r="DY258" s="73"/>
      <c r="DZ258" s="73"/>
      <c r="EA258" s="319"/>
    </row>
    <row r="259" spans="1:131" s="1" customFormat="1" hidden="1" x14ac:dyDescent="0.25">
      <c r="A259" s="469" t="s">
        <v>9</v>
      </c>
      <c r="B259" s="12"/>
      <c r="C259" s="469"/>
      <c r="D259" s="12"/>
      <c r="E259" s="3">
        <v>620005</v>
      </c>
      <c r="F259" s="3"/>
      <c r="G259" s="3"/>
      <c r="H259" s="3"/>
      <c r="I259" s="12"/>
      <c r="J259" s="12"/>
      <c r="K259" s="3"/>
      <c r="L259" s="11"/>
      <c r="M259" s="45"/>
      <c r="N259" s="3"/>
      <c r="O259" s="11"/>
      <c r="P259" s="3"/>
      <c r="Q259" s="3"/>
      <c r="R259" s="11"/>
      <c r="S259" s="11"/>
      <c r="T259" s="12" t="s">
        <v>520</v>
      </c>
      <c r="U259" s="12"/>
      <c r="V259" s="12"/>
      <c r="W259" s="51" t="s">
        <v>36</v>
      </c>
      <c r="X259" s="51" t="s">
        <v>56</v>
      </c>
      <c r="Y259" s="25"/>
      <c r="Z259" s="348"/>
      <c r="AA259" s="12" t="s">
        <v>513</v>
      </c>
      <c r="AB259" s="470" t="s">
        <v>514</v>
      </c>
      <c r="AC259" s="59"/>
      <c r="AD259" s="59"/>
      <c r="AE259" s="7"/>
      <c r="AF259" s="7"/>
      <c r="AG259" s="7">
        <f>AE259+AF259</f>
        <v>0</v>
      </c>
      <c r="AH259" s="7"/>
      <c r="AI259" s="7">
        <f>+AG259+AH259</f>
        <v>0</v>
      </c>
      <c r="AJ259" s="7"/>
      <c r="AK259" s="59">
        <v>0</v>
      </c>
      <c r="AL259" s="59"/>
      <c r="AM259" s="59"/>
      <c r="AN259" s="59"/>
      <c r="AO259" s="59"/>
      <c r="AP259" s="59"/>
      <c r="AQ259" s="59"/>
      <c r="AR259" s="59"/>
      <c r="AS259" s="59"/>
      <c r="AT259" s="59"/>
      <c r="AU259" s="59"/>
      <c r="AV259" s="59"/>
      <c r="AW259" s="59"/>
      <c r="AX259" s="59"/>
      <c r="AY259" s="59"/>
      <c r="AZ259" s="59"/>
      <c r="BA259" s="59"/>
      <c r="BB259" s="59"/>
      <c r="BC259" s="59"/>
      <c r="BD259" s="59"/>
      <c r="BE259" s="59"/>
      <c r="BF259" s="59"/>
      <c r="BG259" s="59"/>
      <c r="BH259" s="59"/>
      <c r="BI259" s="59"/>
      <c r="BJ259" s="59"/>
      <c r="BK259" s="59"/>
      <c r="BL259" s="59"/>
      <c r="BM259" s="59"/>
      <c r="BN259" s="59"/>
      <c r="BO259" s="59"/>
      <c r="BP259" s="59"/>
      <c r="BQ259" s="59"/>
      <c r="BR259" s="59"/>
      <c r="BS259" s="59"/>
      <c r="BT259" s="59"/>
      <c r="BU259" s="59"/>
      <c r="BV259" s="59"/>
      <c r="BW259" s="59"/>
      <c r="BX259" s="59"/>
      <c r="BY259" s="59"/>
      <c r="BZ259" s="59"/>
      <c r="CA259" s="59"/>
      <c r="CB259" s="59"/>
      <c r="CC259" s="59"/>
      <c r="CD259" s="59"/>
      <c r="CE259" s="59"/>
      <c r="CF259" s="59"/>
      <c r="CG259" s="59">
        <v>0</v>
      </c>
      <c r="CH259" s="471">
        <v>50000000</v>
      </c>
      <c r="CI259" s="319"/>
      <c r="CJ259" s="319"/>
      <c r="CK259" s="36"/>
      <c r="CL259" s="7"/>
      <c r="CM259" s="27"/>
      <c r="CN259" s="7"/>
      <c r="CO259" s="27"/>
      <c r="CP259" s="27"/>
      <c r="CQ259" s="7"/>
      <c r="CR259" s="7"/>
      <c r="CS259" s="7"/>
      <c r="CT259" s="27"/>
      <c r="CU259" s="27"/>
      <c r="CV259" s="7"/>
      <c r="CW259" s="27"/>
      <c r="CX259" s="27"/>
      <c r="CY259" s="7"/>
      <c r="CZ259" s="27"/>
      <c r="DA259" s="27"/>
      <c r="DB259" s="7"/>
      <c r="DC259" s="27"/>
      <c r="DD259" s="7"/>
      <c r="DE259" s="27"/>
      <c r="DF259" s="7"/>
      <c r="DG259" s="27"/>
      <c r="DH259" s="7"/>
      <c r="DI259" s="27"/>
      <c r="DJ259" s="7"/>
      <c r="DK259" s="27"/>
      <c r="DL259" s="7"/>
      <c r="DM259" s="27"/>
      <c r="DN259" s="7"/>
      <c r="DO259" s="27"/>
      <c r="DP259" s="14"/>
      <c r="DQ259" s="14"/>
      <c r="DR259" s="7"/>
      <c r="DS259" s="7"/>
      <c r="DT259" s="7"/>
      <c r="DU259" s="15"/>
      <c r="DV259" s="15"/>
      <c r="DW259" s="7"/>
      <c r="DX259" s="7"/>
      <c r="DY259" s="27">
        <v>50000000</v>
      </c>
      <c r="DZ259" s="27"/>
    </row>
    <row r="260" spans="1:131" s="1" customFormat="1" hidden="1" x14ac:dyDescent="0.25">
      <c r="A260" s="469"/>
      <c r="B260" s="12"/>
      <c r="C260" s="469"/>
      <c r="D260" s="12"/>
      <c r="E260" s="3"/>
      <c r="F260" s="3"/>
      <c r="G260" s="3"/>
      <c r="H260" s="3"/>
      <c r="I260" s="12"/>
      <c r="J260" s="12"/>
      <c r="K260" s="3"/>
      <c r="L260" s="11"/>
      <c r="M260" s="45"/>
      <c r="N260" s="3"/>
      <c r="O260" s="11"/>
      <c r="P260" s="3"/>
      <c r="Q260" s="3"/>
      <c r="R260" s="11"/>
      <c r="S260" s="11"/>
      <c r="T260" s="12"/>
      <c r="U260" s="12"/>
      <c r="V260" s="12"/>
      <c r="W260" s="51"/>
      <c r="X260" s="51"/>
      <c r="Y260" s="25"/>
      <c r="Z260" s="348"/>
      <c r="AA260" s="12"/>
      <c r="AB260" s="470"/>
      <c r="AC260" s="59"/>
      <c r="AD260" s="59"/>
      <c r="AE260" s="7"/>
      <c r="AF260" s="7"/>
      <c r="AG260" s="7"/>
      <c r="AH260" s="7"/>
      <c r="AI260" s="7"/>
      <c r="AJ260" s="7"/>
      <c r="AK260" s="59"/>
      <c r="AL260" s="59"/>
      <c r="AM260" s="59"/>
      <c r="AN260" s="59"/>
      <c r="AO260" s="59"/>
      <c r="AP260" s="59"/>
      <c r="AQ260" s="59"/>
      <c r="AR260" s="59"/>
      <c r="AS260" s="59"/>
      <c r="AT260" s="59"/>
      <c r="AU260" s="59"/>
      <c r="AV260" s="59"/>
      <c r="AW260" s="59"/>
      <c r="AX260" s="59"/>
      <c r="AY260" s="59"/>
      <c r="AZ260" s="59"/>
      <c r="BA260" s="59"/>
      <c r="BB260" s="59"/>
      <c r="BC260" s="59"/>
      <c r="BD260" s="59"/>
      <c r="BE260" s="59"/>
      <c r="BF260" s="59"/>
      <c r="BG260" s="59"/>
      <c r="BH260" s="59"/>
      <c r="BI260" s="59"/>
      <c r="BJ260" s="59"/>
      <c r="BK260" s="59"/>
      <c r="BL260" s="59"/>
      <c r="BM260" s="59"/>
      <c r="BN260" s="59"/>
      <c r="BO260" s="59"/>
      <c r="BP260" s="59"/>
      <c r="BQ260" s="59"/>
      <c r="BR260" s="59"/>
      <c r="BS260" s="59"/>
      <c r="BT260" s="59"/>
      <c r="BU260" s="59"/>
      <c r="BV260" s="59"/>
      <c r="BW260" s="59"/>
      <c r="BX260" s="59"/>
      <c r="BY260" s="59"/>
      <c r="BZ260" s="59"/>
      <c r="CA260" s="59"/>
      <c r="CB260" s="59"/>
      <c r="CC260" s="59"/>
      <c r="CD260" s="59"/>
      <c r="CE260" s="59"/>
      <c r="CF260" s="59"/>
      <c r="CG260" s="59"/>
      <c r="CH260" s="471"/>
      <c r="CI260" s="319"/>
      <c r="CJ260" s="319"/>
      <c r="CK260" s="319"/>
      <c r="CL260" s="7"/>
      <c r="CM260" s="334"/>
      <c r="CN260" s="7"/>
      <c r="CO260" s="334"/>
      <c r="CP260" s="334"/>
      <c r="CQ260" s="7"/>
      <c r="CR260" s="7"/>
      <c r="CS260" s="7"/>
      <c r="CT260" s="334"/>
      <c r="CU260" s="334"/>
      <c r="CV260" s="7"/>
      <c r="CW260" s="334"/>
      <c r="CX260" s="334"/>
      <c r="CY260" s="7"/>
      <c r="CZ260" s="334"/>
      <c r="DA260" s="334"/>
      <c r="DB260" s="7"/>
      <c r="DC260" s="334"/>
      <c r="DD260" s="7"/>
      <c r="DE260" s="334"/>
      <c r="DF260" s="7"/>
      <c r="DG260" s="334"/>
      <c r="DH260" s="7"/>
      <c r="DI260" s="334"/>
      <c r="DJ260" s="7"/>
      <c r="DK260" s="334"/>
      <c r="DL260" s="7"/>
      <c r="DM260" s="334"/>
      <c r="DN260" s="7"/>
      <c r="DO260" s="334"/>
      <c r="DP260" s="14"/>
      <c r="DQ260" s="14"/>
      <c r="DR260" s="7"/>
      <c r="DS260" s="7"/>
      <c r="DT260" s="7"/>
      <c r="DU260" s="15"/>
      <c r="DV260" s="15"/>
      <c r="DW260" s="7"/>
      <c r="DX260" s="7"/>
      <c r="DY260" s="27"/>
      <c r="DZ260" s="27"/>
    </row>
    <row r="261" spans="1:131" s="1" customFormat="1" hidden="1" x14ac:dyDescent="0.25">
      <c r="A261" s="469" t="s">
        <v>9</v>
      </c>
      <c r="B261" s="12"/>
      <c r="C261" s="469"/>
      <c r="D261" s="12"/>
      <c r="E261" s="3">
        <v>615095</v>
      </c>
      <c r="F261" s="3"/>
      <c r="G261" s="3"/>
      <c r="H261" s="3"/>
      <c r="I261" s="12"/>
      <c r="J261" s="12"/>
      <c r="K261" s="3"/>
      <c r="L261" s="11"/>
      <c r="M261" s="45"/>
      <c r="N261" s="3"/>
      <c r="O261" s="11"/>
      <c r="P261" s="3"/>
      <c r="Q261" s="3"/>
      <c r="R261" s="11"/>
      <c r="S261" s="11"/>
      <c r="T261" s="12" t="s">
        <v>78</v>
      </c>
      <c r="U261" s="12"/>
      <c r="V261" s="12"/>
      <c r="W261" s="51" t="s">
        <v>36</v>
      </c>
      <c r="X261" s="51" t="s">
        <v>56</v>
      </c>
      <c r="Y261" s="25"/>
      <c r="Z261" s="348"/>
      <c r="AA261" s="12" t="s">
        <v>515</v>
      </c>
      <c r="AB261" s="12" t="s">
        <v>8</v>
      </c>
      <c r="AC261" s="59"/>
      <c r="AD261" s="59"/>
      <c r="AE261" s="7"/>
      <c r="AF261" s="7"/>
      <c r="AG261" s="7">
        <f>AE261+AF261</f>
        <v>0</v>
      </c>
      <c r="AH261" s="7"/>
      <c r="AI261" s="7">
        <f>+AG261+AH261</f>
        <v>0</v>
      </c>
      <c r="AJ261" s="7"/>
      <c r="AK261" s="59">
        <v>0</v>
      </c>
      <c r="AL261" s="59"/>
      <c r="AM261" s="59"/>
      <c r="AN261" s="59"/>
      <c r="AO261" s="59"/>
      <c r="AP261" s="59"/>
      <c r="AQ261" s="59"/>
      <c r="AR261" s="59"/>
      <c r="AS261" s="59"/>
      <c r="AT261" s="59"/>
      <c r="AU261" s="59"/>
      <c r="AV261" s="59"/>
      <c r="AW261" s="59"/>
      <c r="AX261" s="59"/>
      <c r="AY261" s="59"/>
      <c r="AZ261" s="59"/>
      <c r="BA261" s="59"/>
      <c r="BB261" s="59"/>
      <c r="BC261" s="59"/>
      <c r="BD261" s="59"/>
      <c r="BE261" s="59"/>
      <c r="BF261" s="59"/>
      <c r="BG261" s="59"/>
      <c r="BH261" s="59"/>
      <c r="BI261" s="59"/>
      <c r="BJ261" s="59"/>
      <c r="BK261" s="59"/>
      <c r="BL261" s="59"/>
      <c r="BM261" s="59"/>
      <c r="BN261" s="59"/>
      <c r="BO261" s="59"/>
      <c r="BP261" s="59"/>
      <c r="BQ261" s="59"/>
      <c r="BR261" s="59"/>
      <c r="BS261" s="59"/>
      <c r="BT261" s="59"/>
      <c r="BU261" s="59"/>
      <c r="BV261" s="59"/>
      <c r="BW261" s="59"/>
      <c r="BX261" s="59"/>
      <c r="BY261" s="59"/>
      <c r="BZ261" s="59"/>
      <c r="CA261" s="59"/>
      <c r="CB261" s="59"/>
      <c r="CC261" s="59"/>
      <c r="CD261" s="59"/>
      <c r="CE261" s="59"/>
      <c r="CF261" s="59"/>
      <c r="CG261" s="59">
        <v>0</v>
      </c>
      <c r="CH261" s="472">
        <v>3500000</v>
      </c>
      <c r="CI261" s="73"/>
      <c r="CJ261" s="73"/>
      <c r="CK261" s="117"/>
      <c r="CL261" s="7"/>
      <c r="CM261" s="59"/>
      <c r="CN261" s="7"/>
      <c r="CO261" s="59"/>
      <c r="CP261" s="59"/>
      <c r="CQ261" s="7"/>
      <c r="CR261" s="7"/>
      <c r="CS261" s="7"/>
      <c r="CT261" s="59"/>
      <c r="CU261" s="59"/>
      <c r="CV261" s="7"/>
      <c r="CW261" s="59"/>
      <c r="CX261" s="59"/>
      <c r="CY261" s="7"/>
      <c r="CZ261" s="59"/>
      <c r="DA261" s="59"/>
      <c r="DB261" s="7"/>
      <c r="DC261" s="59"/>
      <c r="DD261" s="7"/>
      <c r="DE261" s="59"/>
      <c r="DF261" s="7"/>
      <c r="DG261" s="59"/>
      <c r="DH261" s="7"/>
      <c r="DI261" s="59"/>
      <c r="DJ261" s="7"/>
      <c r="DK261" s="59"/>
      <c r="DL261" s="7"/>
      <c r="DM261" s="59"/>
      <c r="DN261" s="7"/>
      <c r="DO261" s="59"/>
      <c r="DP261" s="14"/>
      <c r="DQ261" s="14"/>
      <c r="DR261" s="7"/>
      <c r="DS261" s="7"/>
      <c r="DT261" s="7"/>
      <c r="DU261" s="15"/>
      <c r="DV261" s="15"/>
      <c r="DW261" s="15"/>
      <c r="DX261" s="15"/>
      <c r="DY261" s="7"/>
      <c r="DZ261" s="27"/>
    </row>
    <row r="262" spans="1:131" s="10" customFormat="1" ht="16.5" hidden="1" thickBot="1" x14ac:dyDescent="0.25">
      <c r="A262" s="473"/>
      <c r="B262" s="48"/>
      <c r="C262" s="473"/>
      <c r="D262" s="48"/>
      <c r="E262" s="474"/>
      <c r="F262" s="474"/>
      <c r="G262" s="474"/>
      <c r="H262" s="474"/>
      <c r="I262" s="48"/>
      <c r="J262" s="48"/>
      <c r="K262" s="474"/>
      <c r="L262" s="474"/>
      <c r="M262" s="474"/>
      <c r="N262" s="474"/>
      <c r="O262" s="474"/>
      <c r="P262" s="474"/>
      <c r="Q262" s="474"/>
      <c r="R262" s="474"/>
      <c r="S262" s="474"/>
      <c r="T262" s="51"/>
      <c r="U262" s="51"/>
      <c r="V262" s="51"/>
      <c r="W262" s="48"/>
      <c r="X262" s="48"/>
      <c r="Y262" s="348"/>
      <c r="Z262" s="348"/>
      <c r="AA262" s="475"/>
      <c r="AB262" s="51"/>
      <c r="AC262" s="476"/>
      <c r="AD262" s="476"/>
      <c r="AE262" s="59"/>
      <c r="AF262" s="59"/>
      <c r="AG262" s="59"/>
      <c r="AH262" s="59"/>
      <c r="AI262" s="59"/>
      <c r="AJ262" s="59"/>
      <c r="AK262" s="477">
        <f>SUM(AK261:AK261)</f>
        <v>0</v>
      </c>
      <c r="AL262" s="477"/>
      <c r="AM262" s="477"/>
      <c r="AN262" s="477"/>
      <c r="AO262" s="477"/>
      <c r="AP262" s="477"/>
      <c r="AQ262" s="477"/>
      <c r="AR262" s="477"/>
      <c r="AS262" s="477"/>
      <c r="AT262" s="477"/>
      <c r="AU262" s="477"/>
      <c r="AV262" s="477"/>
      <c r="AW262" s="477"/>
      <c r="AX262" s="477"/>
      <c r="AY262" s="477"/>
      <c r="AZ262" s="477"/>
      <c r="BA262" s="477"/>
      <c r="BB262" s="477"/>
      <c r="BC262" s="477"/>
      <c r="BD262" s="477"/>
      <c r="BE262" s="477"/>
      <c r="BF262" s="477"/>
      <c r="BG262" s="477"/>
      <c r="BH262" s="477"/>
      <c r="BI262" s="477"/>
      <c r="BJ262" s="477"/>
      <c r="BK262" s="477"/>
      <c r="BL262" s="477"/>
      <c r="BM262" s="477"/>
      <c r="BN262" s="477"/>
      <c r="BO262" s="477"/>
      <c r="BP262" s="477"/>
      <c r="BQ262" s="477"/>
      <c r="BR262" s="477"/>
      <c r="BS262" s="477"/>
      <c r="BT262" s="477"/>
      <c r="BU262" s="477"/>
      <c r="BV262" s="477"/>
      <c r="BW262" s="477"/>
      <c r="BX262" s="477"/>
      <c r="BY262" s="477"/>
      <c r="BZ262" s="477"/>
      <c r="CA262" s="477"/>
      <c r="CB262" s="477"/>
      <c r="CC262" s="477"/>
      <c r="CD262" s="477"/>
      <c r="CE262" s="477"/>
      <c r="CF262" s="478"/>
      <c r="CG262" s="477">
        <f>SUM(CG261:CG261)</f>
        <v>0</v>
      </c>
      <c r="CH262" s="479">
        <f>SUM(CH261:CH261)</f>
        <v>3500000</v>
      </c>
      <c r="CI262" s="480"/>
      <c r="CJ262" s="480"/>
      <c r="CK262" s="72"/>
      <c r="CL262" s="72"/>
      <c r="CM262" s="72"/>
      <c r="CN262" s="72"/>
      <c r="CO262" s="72"/>
      <c r="CP262" s="72"/>
      <c r="CQ262" s="73"/>
      <c r="CR262" s="73"/>
      <c r="CS262" s="73"/>
      <c r="CT262" s="72"/>
      <c r="CU262" s="72"/>
      <c r="CV262" s="72"/>
      <c r="CW262" s="72"/>
      <c r="CX262" s="72"/>
      <c r="CY262" s="72"/>
      <c r="CZ262" s="72"/>
      <c r="DA262" s="72"/>
      <c r="DB262" s="72"/>
      <c r="DC262" s="72"/>
      <c r="DD262" s="72"/>
      <c r="DE262" s="72"/>
      <c r="DF262" s="72"/>
      <c r="DG262" s="72"/>
      <c r="DH262" s="72"/>
      <c r="DI262" s="72"/>
      <c r="DJ262" s="72"/>
      <c r="DK262" s="72"/>
      <c r="DL262" s="72"/>
      <c r="DM262" s="72"/>
      <c r="DN262" s="72"/>
      <c r="DO262" s="72"/>
      <c r="DP262" s="75"/>
      <c r="DQ262" s="76"/>
      <c r="DR262" s="77"/>
      <c r="DS262" s="72"/>
      <c r="DT262" s="73"/>
      <c r="DU262" s="72"/>
      <c r="DV262" s="73"/>
      <c r="DW262" s="73"/>
      <c r="DX262" s="73"/>
      <c r="DY262" s="73"/>
      <c r="DZ262" s="73"/>
      <c r="EA262" s="319"/>
    </row>
    <row r="263" spans="1:131" s="10" customFormat="1" ht="17.25" hidden="1" thickTop="1" thickBot="1" x14ac:dyDescent="0.25">
      <c r="A263" s="481"/>
      <c r="B263" s="482"/>
      <c r="C263" s="481"/>
      <c r="D263" s="482"/>
      <c r="E263" s="483"/>
      <c r="F263" s="483"/>
      <c r="G263" s="483"/>
      <c r="H263" s="483"/>
      <c r="I263" s="482"/>
      <c r="J263" s="482"/>
      <c r="K263" s="483"/>
      <c r="L263" s="483"/>
      <c r="M263" s="483"/>
      <c r="N263" s="483"/>
      <c r="O263" s="483"/>
      <c r="P263" s="483"/>
      <c r="Q263" s="483"/>
      <c r="R263" s="483"/>
      <c r="S263" s="483"/>
      <c r="T263" s="484"/>
      <c r="U263" s="484"/>
      <c r="V263" s="484"/>
      <c r="W263" s="482"/>
      <c r="X263" s="482"/>
      <c r="Y263" s="485"/>
      <c r="Z263" s="485"/>
      <c r="AA263" s="486"/>
      <c r="AB263" s="484"/>
      <c r="AC263" s="487"/>
      <c r="AD263" s="487"/>
      <c r="AE263" s="488"/>
      <c r="AF263" s="488"/>
      <c r="AG263" s="488"/>
      <c r="AH263" s="488"/>
      <c r="AI263" s="488"/>
      <c r="AJ263" s="488"/>
      <c r="AK263" s="488"/>
      <c r="AL263" s="488"/>
      <c r="AM263" s="488"/>
      <c r="AN263" s="488"/>
      <c r="AO263" s="488"/>
      <c r="AP263" s="488"/>
      <c r="AQ263" s="488"/>
      <c r="AR263" s="488"/>
      <c r="AS263" s="488"/>
      <c r="AT263" s="488"/>
      <c r="AU263" s="488"/>
      <c r="AV263" s="488"/>
      <c r="AW263" s="488"/>
      <c r="AX263" s="488"/>
      <c r="AY263" s="488"/>
      <c r="AZ263" s="488"/>
      <c r="BA263" s="488"/>
      <c r="BB263" s="488"/>
      <c r="BC263" s="488"/>
      <c r="BD263" s="488"/>
      <c r="BE263" s="488"/>
      <c r="BF263" s="488"/>
      <c r="BG263" s="488"/>
      <c r="BH263" s="488"/>
      <c r="BI263" s="488"/>
      <c r="BJ263" s="488"/>
      <c r="BK263" s="488"/>
      <c r="BL263" s="488"/>
      <c r="BM263" s="488"/>
      <c r="BN263" s="488"/>
      <c r="BO263" s="488"/>
      <c r="BP263" s="488"/>
      <c r="BQ263" s="488"/>
      <c r="BR263" s="488"/>
      <c r="BS263" s="488"/>
      <c r="BT263" s="488"/>
      <c r="BU263" s="488"/>
      <c r="BV263" s="488"/>
      <c r="BW263" s="488"/>
      <c r="BX263" s="488"/>
      <c r="BY263" s="488"/>
      <c r="BZ263" s="488"/>
      <c r="CA263" s="488"/>
      <c r="CB263" s="488"/>
      <c r="CC263" s="488"/>
      <c r="CD263" s="488"/>
      <c r="CE263" s="488"/>
      <c r="CF263" s="488"/>
      <c r="CG263" s="487"/>
      <c r="CH263" s="489"/>
      <c r="CI263" s="73"/>
      <c r="CJ263" s="73"/>
      <c r="CK263" s="72"/>
      <c r="CL263" s="72"/>
      <c r="CM263" s="72"/>
      <c r="CN263" s="72"/>
      <c r="CO263" s="72"/>
      <c r="CP263" s="72"/>
      <c r="CQ263" s="73"/>
      <c r="CR263" s="73"/>
      <c r="CS263" s="73"/>
      <c r="CT263" s="72"/>
      <c r="CU263" s="72"/>
      <c r="CV263" s="72"/>
      <c r="CW263" s="72"/>
      <c r="CX263" s="72"/>
      <c r="CY263" s="72"/>
      <c r="CZ263" s="72"/>
      <c r="DA263" s="72"/>
      <c r="DB263" s="72"/>
      <c r="DC263" s="72"/>
      <c r="DD263" s="72"/>
      <c r="DE263" s="72"/>
      <c r="DF263" s="72"/>
      <c r="DG263" s="72"/>
      <c r="DH263" s="72"/>
      <c r="DI263" s="72"/>
      <c r="DJ263" s="72"/>
      <c r="DK263" s="72"/>
      <c r="DL263" s="72"/>
      <c r="DM263" s="72"/>
      <c r="DN263" s="72"/>
      <c r="DO263" s="72"/>
      <c r="DP263" s="75"/>
      <c r="DQ263" s="76"/>
      <c r="DR263" s="77"/>
      <c r="DS263" s="72"/>
      <c r="DT263" s="73"/>
      <c r="DU263" s="72"/>
      <c r="DV263" s="73"/>
      <c r="DW263" s="73"/>
      <c r="DX263" s="73"/>
      <c r="DY263" s="73"/>
      <c r="DZ263" s="73"/>
      <c r="EA263" s="319"/>
    </row>
    <row r="264" spans="1:131" s="10" customFormat="1" hidden="1" x14ac:dyDescent="0.2">
      <c r="A264" s="68"/>
      <c r="B264" s="68"/>
      <c r="C264" s="68"/>
      <c r="D264" s="68"/>
      <c r="E264" s="69"/>
      <c r="F264" s="69"/>
      <c r="G264" s="69"/>
      <c r="H264" s="69"/>
      <c r="I264" s="68"/>
      <c r="J264" s="68"/>
      <c r="K264" s="69"/>
      <c r="L264" s="69"/>
      <c r="M264" s="69"/>
      <c r="N264" s="69"/>
      <c r="O264" s="69"/>
      <c r="P264" s="69"/>
      <c r="Q264" s="69"/>
      <c r="R264" s="69"/>
      <c r="S264" s="69"/>
      <c r="T264" s="70"/>
      <c r="U264" s="70"/>
      <c r="V264" s="70"/>
      <c r="W264" s="68"/>
      <c r="X264" s="68"/>
      <c r="Y264" s="50"/>
      <c r="Z264" s="50"/>
      <c r="AA264" s="71"/>
      <c r="AB264" s="70"/>
      <c r="AC264" s="72"/>
      <c r="AD264" s="72"/>
      <c r="AE264" s="73"/>
      <c r="AF264" s="73"/>
      <c r="AG264" s="73"/>
      <c r="AH264" s="73"/>
      <c r="AI264" s="73"/>
      <c r="AJ264" s="73"/>
      <c r="AK264" s="73"/>
      <c r="AL264" s="73"/>
      <c r="AM264" s="73"/>
      <c r="AN264" s="73"/>
      <c r="AO264" s="73"/>
      <c r="AP264" s="73"/>
      <c r="AQ264" s="73"/>
      <c r="AR264" s="73"/>
      <c r="AS264" s="73"/>
      <c r="AT264" s="73"/>
      <c r="AU264" s="73"/>
      <c r="AV264" s="73"/>
      <c r="AW264" s="73"/>
      <c r="AX264" s="73"/>
      <c r="AY264" s="73"/>
      <c r="AZ264" s="73"/>
      <c r="BA264" s="73"/>
      <c r="BB264" s="73"/>
      <c r="BC264" s="73"/>
      <c r="BD264" s="73"/>
      <c r="BE264" s="73"/>
      <c r="BF264" s="73"/>
      <c r="BG264" s="73"/>
      <c r="BH264" s="73"/>
      <c r="BI264" s="73"/>
      <c r="BJ264" s="73"/>
      <c r="BK264" s="73"/>
      <c r="BL264" s="73"/>
      <c r="BM264" s="73"/>
      <c r="BN264" s="73"/>
      <c r="BO264" s="73"/>
      <c r="BP264" s="73"/>
      <c r="BQ264" s="73"/>
      <c r="BR264" s="73"/>
      <c r="BS264" s="73"/>
      <c r="BT264" s="73"/>
      <c r="BU264" s="73"/>
      <c r="BV264" s="73"/>
      <c r="BW264" s="73"/>
      <c r="BX264" s="73"/>
      <c r="BY264" s="73"/>
      <c r="BZ264" s="73"/>
      <c r="CA264" s="73"/>
      <c r="CB264" s="73"/>
      <c r="CC264" s="73"/>
      <c r="CD264" s="73"/>
      <c r="CE264" s="73"/>
      <c r="CF264" s="73"/>
      <c r="CG264" s="72"/>
      <c r="CH264" s="73"/>
      <c r="CI264" s="73"/>
      <c r="CJ264" s="73"/>
      <c r="CK264" s="72"/>
      <c r="CL264" s="72"/>
      <c r="CM264" s="72"/>
      <c r="CN264" s="72"/>
      <c r="CO264" s="72"/>
      <c r="CP264" s="72"/>
      <c r="CQ264" s="73"/>
      <c r="CR264" s="73"/>
      <c r="CS264" s="73"/>
      <c r="CT264" s="72"/>
      <c r="CU264" s="72"/>
      <c r="CV264" s="72"/>
      <c r="CW264" s="72"/>
      <c r="CX264" s="72"/>
      <c r="CY264" s="72"/>
      <c r="CZ264" s="72"/>
      <c r="DA264" s="72"/>
      <c r="DB264" s="72"/>
      <c r="DC264" s="72"/>
      <c r="DD264" s="72"/>
      <c r="DE264" s="72"/>
      <c r="DF264" s="72"/>
      <c r="DG264" s="72"/>
      <c r="DH264" s="72"/>
      <c r="DI264" s="72"/>
      <c r="DJ264" s="72"/>
      <c r="DK264" s="72"/>
      <c r="DL264" s="72"/>
      <c r="DM264" s="72"/>
      <c r="DN264" s="72"/>
      <c r="DO264" s="72"/>
      <c r="DP264" s="75"/>
      <c r="DQ264" s="76"/>
      <c r="DR264" s="77"/>
      <c r="DS264" s="72"/>
      <c r="DT264" s="73"/>
      <c r="DU264" s="72"/>
      <c r="DV264" s="73"/>
      <c r="DW264" s="73"/>
      <c r="DX264" s="73"/>
      <c r="DY264" s="73"/>
      <c r="DZ264" s="73"/>
      <c r="EA264" s="319"/>
    </row>
    <row r="265" spans="1:131" s="10" customFormat="1" hidden="1" x14ac:dyDescent="0.2">
      <c r="A265" s="68"/>
      <c r="B265" s="68"/>
      <c r="C265" s="68"/>
      <c r="D265" s="68"/>
      <c r="E265" s="69"/>
      <c r="F265" s="69"/>
      <c r="G265" s="69"/>
      <c r="H265" s="69"/>
      <c r="I265" s="68"/>
      <c r="J265" s="68"/>
      <c r="K265" s="69"/>
      <c r="L265" s="69"/>
      <c r="M265" s="69"/>
      <c r="N265" s="69"/>
      <c r="O265" s="69"/>
      <c r="P265" s="69"/>
      <c r="Q265" s="69"/>
      <c r="R265" s="69"/>
      <c r="S265" s="69"/>
      <c r="T265" s="70"/>
      <c r="U265" s="70"/>
      <c r="V265" s="70"/>
      <c r="W265" s="68"/>
      <c r="X265" s="68"/>
      <c r="Y265" s="50"/>
      <c r="Z265" s="50"/>
      <c r="AA265" s="71"/>
      <c r="AB265" s="70"/>
      <c r="AC265" s="72"/>
      <c r="AD265" s="72"/>
      <c r="AE265" s="73"/>
      <c r="AF265" s="73"/>
      <c r="AG265" s="73"/>
      <c r="AH265" s="73"/>
      <c r="AI265" s="73"/>
      <c r="AJ265" s="73"/>
      <c r="AK265" s="73"/>
      <c r="AL265" s="73"/>
      <c r="AM265" s="73"/>
      <c r="AN265" s="73"/>
      <c r="AO265" s="73"/>
      <c r="AP265" s="73"/>
      <c r="AQ265" s="73"/>
      <c r="AR265" s="73"/>
      <c r="AS265" s="73"/>
      <c r="AT265" s="73"/>
      <c r="AU265" s="73"/>
      <c r="AV265" s="73"/>
      <c r="AW265" s="73"/>
      <c r="AX265" s="73"/>
      <c r="AY265" s="73"/>
      <c r="AZ265" s="73"/>
      <c r="BA265" s="73"/>
      <c r="BB265" s="73"/>
      <c r="BC265" s="73"/>
      <c r="BD265" s="73"/>
      <c r="BE265" s="73"/>
      <c r="BF265" s="73"/>
      <c r="BG265" s="73"/>
      <c r="BH265" s="73"/>
      <c r="BI265" s="73"/>
      <c r="BJ265" s="73"/>
      <c r="BK265" s="73"/>
      <c r="BL265" s="73"/>
      <c r="BM265" s="73"/>
      <c r="BN265" s="73"/>
      <c r="BO265" s="73"/>
      <c r="BP265" s="73"/>
      <c r="BQ265" s="73"/>
      <c r="BR265" s="73"/>
      <c r="BS265" s="73"/>
      <c r="BT265" s="73"/>
      <c r="BU265" s="73"/>
      <c r="BV265" s="73"/>
      <c r="BW265" s="73"/>
      <c r="BX265" s="73"/>
      <c r="BY265" s="73"/>
      <c r="BZ265" s="73"/>
      <c r="CA265" s="73"/>
      <c r="CB265" s="73"/>
      <c r="CC265" s="73"/>
      <c r="CD265" s="73"/>
      <c r="CE265" s="73"/>
      <c r="CF265" s="73"/>
      <c r="CG265" s="72"/>
      <c r="CH265" s="73"/>
      <c r="CI265" s="73"/>
      <c r="CJ265" s="73"/>
      <c r="CK265" s="72"/>
      <c r="CL265" s="72"/>
      <c r="CM265" s="72"/>
      <c r="CN265" s="72"/>
      <c r="CO265" s="72"/>
      <c r="CP265" s="72"/>
      <c r="CQ265" s="73"/>
      <c r="CR265" s="73"/>
      <c r="CS265" s="73"/>
      <c r="CT265" s="72"/>
      <c r="CU265" s="72"/>
      <c r="CV265" s="72"/>
      <c r="CW265" s="72"/>
      <c r="CX265" s="72"/>
      <c r="CY265" s="72"/>
      <c r="CZ265" s="72"/>
      <c r="DA265" s="72"/>
      <c r="DB265" s="72"/>
      <c r="DC265" s="72"/>
      <c r="DD265" s="72"/>
      <c r="DE265" s="72"/>
      <c r="DF265" s="72"/>
      <c r="DG265" s="72"/>
      <c r="DH265" s="72"/>
      <c r="DI265" s="72"/>
      <c r="DJ265" s="72"/>
      <c r="DK265" s="72"/>
      <c r="DL265" s="72"/>
      <c r="DM265" s="72"/>
      <c r="DN265" s="72"/>
      <c r="DO265" s="72"/>
      <c r="DP265" s="75"/>
      <c r="DQ265" s="76"/>
      <c r="DR265" s="77"/>
      <c r="DS265" s="72"/>
      <c r="DT265" s="73"/>
      <c r="DU265" s="72"/>
      <c r="DV265" s="73"/>
      <c r="DW265" s="73"/>
      <c r="DX265" s="73"/>
      <c r="DY265" s="73"/>
      <c r="DZ265" s="73"/>
      <c r="EA265" s="319"/>
    </row>
    <row r="266" spans="1:131" s="10" customFormat="1" hidden="1" x14ac:dyDescent="0.2">
      <c r="A266" s="68"/>
      <c r="B266" s="68"/>
      <c r="C266" s="68"/>
      <c r="D266" s="68"/>
      <c r="E266" s="69"/>
      <c r="F266" s="69"/>
      <c r="G266" s="69"/>
      <c r="H266" s="69"/>
      <c r="I266" s="68"/>
      <c r="J266" s="68"/>
      <c r="K266" s="69"/>
      <c r="L266" s="69"/>
      <c r="M266" s="69"/>
      <c r="N266" s="69"/>
      <c r="O266" s="69"/>
      <c r="P266" s="69"/>
      <c r="Q266" s="69"/>
      <c r="R266" s="69"/>
      <c r="S266" s="69"/>
      <c r="T266" s="70"/>
      <c r="U266" s="70"/>
      <c r="V266" s="70"/>
      <c r="W266" s="68"/>
      <c r="X266" s="68"/>
      <c r="Y266" s="50"/>
      <c r="Z266" s="50"/>
      <c r="AA266" s="71"/>
      <c r="AB266" s="70"/>
      <c r="AC266" s="72"/>
      <c r="AD266" s="72"/>
      <c r="AE266" s="73"/>
      <c r="AF266" s="73"/>
      <c r="AG266" s="73"/>
      <c r="AH266" s="73"/>
      <c r="AI266" s="73"/>
      <c r="AJ266" s="73"/>
      <c r="AK266" s="73"/>
      <c r="AL266" s="73"/>
      <c r="AM266" s="73"/>
      <c r="AN266" s="73"/>
      <c r="AO266" s="73"/>
      <c r="AP266" s="73"/>
      <c r="AQ266" s="73"/>
      <c r="AR266" s="73"/>
      <c r="AS266" s="73"/>
      <c r="AT266" s="73"/>
      <c r="AU266" s="73"/>
      <c r="AV266" s="73"/>
      <c r="AW266" s="73"/>
      <c r="AX266" s="73"/>
      <c r="AY266" s="73"/>
      <c r="AZ266" s="73"/>
      <c r="BA266" s="73"/>
      <c r="BB266" s="73"/>
      <c r="BC266" s="73"/>
      <c r="BD266" s="73"/>
      <c r="BE266" s="73"/>
      <c r="BF266" s="73"/>
      <c r="BG266" s="73"/>
      <c r="BH266" s="73"/>
      <c r="BI266" s="73"/>
      <c r="BJ266" s="73"/>
      <c r="BK266" s="73"/>
      <c r="BL266" s="73"/>
      <c r="BM266" s="73"/>
      <c r="BN266" s="73"/>
      <c r="BO266" s="73"/>
      <c r="BP266" s="73"/>
      <c r="BQ266" s="73"/>
      <c r="BR266" s="73"/>
      <c r="BS266" s="73"/>
      <c r="BT266" s="73"/>
      <c r="BU266" s="73"/>
      <c r="BV266" s="73"/>
      <c r="BW266" s="73"/>
      <c r="BX266" s="73"/>
      <c r="BY266" s="73"/>
      <c r="BZ266" s="73"/>
      <c r="CA266" s="73"/>
      <c r="CB266" s="73"/>
      <c r="CC266" s="73"/>
      <c r="CD266" s="73"/>
      <c r="CE266" s="73"/>
      <c r="CF266" s="73"/>
      <c r="CG266" s="72"/>
      <c r="CH266" s="73"/>
      <c r="CI266" s="73"/>
      <c r="CJ266" s="73"/>
      <c r="CK266" s="72"/>
      <c r="CL266" s="72"/>
      <c r="CM266" s="72"/>
      <c r="CN266" s="72"/>
      <c r="CO266" s="72"/>
      <c r="CP266" s="72"/>
      <c r="CQ266" s="73"/>
      <c r="CR266" s="73"/>
      <c r="CS266" s="73"/>
      <c r="CT266" s="72"/>
      <c r="CU266" s="72"/>
      <c r="CV266" s="72"/>
      <c r="CW266" s="72"/>
      <c r="CX266" s="72"/>
      <c r="CY266" s="72"/>
      <c r="CZ266" s="72"/>
      <c r="DA266" s="72"/>
      <c r="DB266" s="72"/>
      <c r="DC266" s="72"/>
      <c r="DD266" s="72"/>
      <c r="DE266" s="72"/>
      <c r="DF266" s="72"/>
      <c r="DG266" s="72"/>
      <c r="DH266" s="72"/>
      <c r="DI266" s="72"/>
      <c r="DJ266" s="72"/>
      <c r="DK266" s="72"/>
      <c r="DL266" s="72"/>
      <c r="DM266" s="72"/>
      <c r="DN266" s="72"/>
      <c r="DO266" s="72"/>
      <c r="DP266" s="75"/>
      <c r="DQ266" s="76"/>
      <c r="DR266" s="77"/>
      <c r="DS266" s="72"/>
      <c r="DT266" s="73"/>
      <c r="DU266" s="72"/>
      <c r="DV266" s="73"/>
      <c r="DW266" s="73"/>
      <c r="DX266" s="73"/>
      <c r="DY266" s="73"/>
      <c r="DZ266" s="73"/>
      <c r="EA266" s="319"/>
    </row>
    <row r="267" spans="1:131" s="1" customFormat="1" ht="30.75" hidden="1" x14ac:dyDescent="0.25">
      <c r="A267" s="61" t="s">
        <v>9</v>
      </c>
      <c r="B267" s="24"/>
      <c r="C267" s="61"/>
      <c r="D267" s="24"/>
      <c r="E267" s="3">
        <v>620005</v>
      </c>
      <c r="F267" s="353"/>
      <c r="G267" s="353"/>
      <c r="H267" s="353"/>
      <c r="I267" s="9" t="s">
        <v>42</v>
      </c>
      <c r="J267" s="10" t="s">
        <v>33</v>
      </c>
      <c r="K267" s="3"/>
      <c r="L267" s="11"/>
      <c r="M267" s="45"/>
      <c r="N267" s="3"/>
      <c r="O267" s="11"/>
      <c r="P267" s="3"/>
      <c r="Q267" s="3"/>
      <c r="R267" s="11" t="s">
        <v>198</v>
      </c>
      <c r="S267" s="11"/>
      <c r="T267" s="12" t="s">
        <v>20</v>
      </c>
      <c r="U267" s="12"/>
      <c r="V267" s="12"/>
      <c r="W267" s="51" t="s">
        <v>36</v>
      </c>
      <c r="X267" s="51" t="s">
        <v>56</v>
      </c>
      <c r="Y267" s="13" t="s">
        <v>69</v>
      </c>
      <c r="Z267" s="348"/>
      <c r="AA267" s="10" t="s">
        <v>546</v>
      </c>
      <c r="AB267" s="110" t="s">
        <v>37</v>
      </c>
      <c r="AC267" s="59"/>
      <c r="AD267" s="59"/>
      <c r="AE267" s="7"/>
      <c r="AF267" s="7"/>
      <c r="AG267" s="7">
        <f t="shared" ref="AG267:AG276" si="277">AE267+AF267</f>
        <v>0</v>
      </c>
      <c r="AH267" s="7"/>
      <c r="AI267" s="7">
        <f t="shared" ref="AI267:AI276" si="278">+AG267+AH267</f>
        <v>0</v>
      </c>
      <c r="AJ267" s="7"/>
      <c r="AK267" s="59">
        <v>0</v>
      </c>
      <c r="AL267" s="59"/>
      <c r="AM267" s="59"/>
      <c r="AN267" s="59"/>
      <c r="AO267" s="59"/>
      <c r="AP267" s="59"/>
      <c r="AQ267" s="59"/>
      <c r="AR267" s="59"/>
      <c r="AS267" s="59"/>
      <c r="AT267" s="59"/>
      <c r="AU267" s="59"/>
      <c r="AV267" s="59"/>
      <c r="AW267" s="59"/>
      <c r="AX267" s="59"/>
      <c r="AY267" s="59"/>
      <c r="AZ267" s="59"/>
      <c r="BA267" s="59"/>
      <c r="BB267" s="59"/>
      <c r="BC267" s="59"/>
      <c r="BD267" s="59"/>
      <c r="BE267" s="59"/>
      <c r="BF267" s="59"/>
      <c r="BG267" s="59"/>
      <c r="BH267" s="59"/>
      <c r="BI267" s="59"/>
      <c r="BJ267" s="59"/>
      <c r="BK267" s="59"/>
      <c r="BL267" s="59"/>
      <c r="BM267" s="59"/>
      <c r="BN267" s="59"/>
      <c r="BO267" s="59"/>
      <c r="BP267" s="59"/>
      <c r="BQ267" s="59"/>
      <c r="BR267" s="59"/>
      <c r="BS267" s="59"/>
      <c r="BT267" s="59"/>
      <c r="BU267" s="59"/>
      <c r="BV267" s="59"/>
      <c r="BW267" s="59"/>
      <c r="BX267" s="59"/>
      <c r="BY267" s="59"/>
      <c r="BZ267" s="59"/>
      <c r="CA267" s="59"/>
      <c r="CB267" s="59"/>
      <c r="CC267" s="59"/>
      <c r="CD267" s="59"/>
      <c r="CE267" s="59"/>
      <c r="CF267" s="59"/>
      <c r="CG267" s="59">
        <v>0</v>
      </c>
      <c r="CH267" s="27">
        <v>6000000</v>
      </c>
      <c r="CI267" s="27"/>
      <c r="CJ267" s="27"/>
      <c r="CK267" s="27"/>
      <c r="CL267" s="7"/>
      <c r="CM267" s="27"/>
      <c r="CN267" s="7"/>
      <c r="CO267" s="27"/>
      <c r="CP267" s="27"/>
      <c r="CQ267" s="7"/>
      <c r="CR267" s="7"/>
      <c r="CS267" s="7"/>
      <c r="CT267" s="27"/>
      <c r="CU267" s="27"/>
      <c r="CV267" s="7"/>
      <c r="CW267" s="27"/>
      <c r="CX267" s="27"/>
      <c r="CY267" s="7"/>
      <c r="CZ267" s="27"/>
      <c r="DA267" s="27"/>
      <c r="DB267" s="7"/>
      <c r="DC267" s="27"/>
      <c r="DD267" s="7"/>
      <c r="DE267" s="27"/>
      <c r="DF267" s="7"/>
      <c r="DG267" s="27"/>
      <c r="DH267" s="7"/>
      <c r="DI267" s="27"/>
      <c r="DJ267" s="7"/>
      <c r="DK267" s="27"/>
      <c r="DL267" s="7"/>
      <c r="DM267" s="27"/>
      <c r="DN267" s="7"/>
      <c r="DO267" s="27"/>
      <c r="DP267" s="14"/>
      <c r="DQ267" s="14"/>
      <c r="DR267" s="7"/>
      <c r="DS267" s="7"/>
      <c r="DT267" s="7"/>
      <c r="DU267" s="15"/>
      <c r="DV267" s="15"/>
      <c r="DW267" s="7"/>
      <c r="DX267" s="7"/>
      <c r="DY267" s="27">
        <v>6000000</v>
      </c>
      <c r="DZ267" s="27"/>
      <c r="EA267" s="109"/>
    </row>
    <row r="268" spans="1:131" s="1" customFormat="1" ht="30.75" hidden="1" x14ac:dyDescent="0.25">
      <c r="A268" s="61" t="s">
        <v>9</v>
      </c>
      <c r="B268" s="24"/>
      <c r="C268" s="61"/>
      <c r="D268" s="24"/>
      <c r="E268" s="3">
        <v>620005</v>
      </c>
      <c r="F268" s="353"/>
      <c r="G268" s="353"/>
      <c r="H268" s="353"/>
      <c r="I268" s="9" t="s">
        <v>42</v>
      </c>
      <c r="J268" s="10" t="s">
        <v>33</v>
      </c>
      <c r="K268" s="3"/>
      <c r="L268" s="11"/>
      <c r="M268" s="45"/>
      <c r="N268" s="3"/>
      <c r="O268" s="11"/>
      <c r="P268" s="3"/>
      <c r="Q268" s="3"/>
      <c r="R268" s="11" t="s">
        <v>198</v>
      </c>
      <c r="S268" s="11"/>
      <c r="T268" s="12" t="s">
        <v>20</v>
      </c>
      <c r="U268" s="12"/>
      <c r="V268" s="12"/>
      <c r="W268" s="12" t="s">
        <v>36</v>
      </c>
      <c r="X268" s="12" t="s">
        <v>56</v>
      </c>
      <c r="Y268" s="13" t="s">
        <v>69</v>
      </c>
      <c r="Z268" s="25"/>
      <c r="AA268" s="10" t="s">
        <v>547</v>
      </c>
      <c r="AB268" s="110" t="s">
        <v>37</v>
      </c>
      <c r="AC268" s="27"/>
      <c r="AD268" s="27"/>
      <c r="AE268" s="7"/>
      <c r="AF268" s="7"/>
      <c r="AG268" s="7">
        <f t="shared" si="277"/>
        <v>0</v>
      </c>
      <c r="AH268" s="7"/>
      <c r="AI268" s="7">
        <f t="shared" si="278"/>
        <v>0</v>
      </c>
      <c r="AJ268" s="7"/>
      <c r="AK268" s="27">
        <v>0</v>
      </c>
      <c r="AL268" s="27"/>
      <c r="AM268" s="27"/>
      <c r="AN268" s="27"/>
      <c r="AO268" s="27"/>
      <c r="AP268" s="27"/>
      <c r="AQ268" s="27"/>
      <c r="AR268" s="27"/>
      <c r="AS268" s="27"/>
      <c r="AT268" s="27"/>
      <c r="AU268" s="27"/>
      <c r="AV268" s="27"/>
      <c r="AW268" s="27"/>
      <c r="AX268" s="27"/>
      <c r="AY268" s="27"/>
      <c r="AZ268" s="27"/>
      <c r="BA268" s="27"/>
      <c r="BB268" s="27"/>
      <c r="BC268" s="27"/>
      <c r="BD268" s="27"/>
      <c r="BE268" s="27"/>
      <c r="BF268" s="27"/>
      <c r="BG268" s="27"/>
      <c r="BH268" s="27"/>
      <c r="BI268" s="27"/>
      <c r="BJ268" s="27"/>
      <c r="BK268" s="27"/>
      <c r="BL268" s="27"/>
      <c r="BM268" s="27"/>
      <c r="BN268" s="27"/>
      <c r="BO268" s="27"/>
      <c r="BP268" s="27"/>
      <c r="BQ268" s="27"/>
      <c r="BR268" s="27"/>
      <c r="BS268" s="27"/>
      <c r="BT268" s="27"/>
      <c r="BU268" s="27"/>
      <c r="BV268" s="27"/>
      <c r="BW268" s="27"/>
      <c r="BX268" s="27"/>
      <c r="BY268" s="27"/>
      <c r="BZ268" s="27"/>
      <c r="CA268" s="27"/>
      <c r="CB268" s="27"/>
      <c r="CC268" s="27"/>
      <c r="CD268" s="27"/>
      <c r="CE268" s="27"/>
      <c r="CF268" s="27"/>
      <c r="CG268" s="27">
        <v>0</v>
      </c>
      <c r="CH268" s="27">
        <v>5000000</v>
      </c>
      <c r="CI268" s="27"/>
      <c r="CJ268" s="27"/>
      <c r="CK268" s="27"/>
      <c r="CL268" s="7"/>
      <c r="CM268" s="27"/>
      <c r="CN268" s="7"/>
      <c r="CO268" s="27"/>
      <c r="CP268" s="27"/>
      <c r="CQ268" s="7"/>
      <c r="CR268" s="7"/>
      <c r="CS268" s="7"/>
      <c r="CT268" s="27"/>
      <c r="CU268" s="27"/>
      <c r="CV268" s="7"/>
      <c r="CW268" s="27"/>
      <c r="CX268" s="27"/>
      <c r="CY268" s="7"/>
      <c r="CZ268" s="27"/>
      <c r="DA268" s="27"/>
      <c r="DB268" s="7"/>
      <c r="DC268" s="27"/>
      <c r="DD268" s="7"/>
      <c r="DE268" s="27"/>
      <c r="DF268" s="7"/>
      <c r="DG268" s="27"/>
      <c r="DH268" s="7"/>
      <c r="DI268" s="27"/>
      <c r="DJ268" s="7"/>
      <c r="DK268" s="27"/>
      <c r="DL268" s="7"/>
      <c r="DM268" s="27"/>
      <c r="DN268" s="7"/>
      <c r="DO268" s="27"/>
      <c r="DP268" s="14"/>
      <c r="DQ268" s="14"/>
      <c r="DR268" s="7"/>
      <c r="DS268" s="7"/>
      <c r="DT268" s="7"/>
      <c r="DU268" s="15"/>
      <c r="DV268" s="15"/>
      <c r="DW268" s="7"/>
      <c r="DX268" s="7"/>
      <c r="DY268" s="27">
        <v>5000000</v>
      </c>
      <c r="DZ268" s="27"/>
      <c r="EA268" s="109"/>
    </row>
    <row r="269" spans="1:131" s="1" customFormat="1" hidden="1" x14ac:dyDescent="0.25">
      <c r="A269" s="61" t="s">
        <v>9</v>
      </c>
      <c r="B269" s="24"/>
      <c r="C269" s="61"/>
      <c r="D269" s="24"/>
      <c r="E269" s="3">
        <v>620005</v>
      </c>
      <c r="F269" s="353"/>
      <c r="G269" s="353"/>
      <c r="H269" s="353"/>
      <c r="I269" s="9" t="s">
        <v>42</v>
      </c>
      <c r="J269" s="10" t="s">
        <v>33</v>
      </c>
      <c r="K269" s="3"/>
      <c r="L269" s="11"/>
      <c r="M269" s="45"/>
      <c r="N269" s="3"/>
      <c r="O269" s="11"/>
      <c r="P269" s="3"/>
      <c r="Q269" s="3"/>
      <c r="R269" s="11" t="s">
        <v>198</v>
      </c>
      <c r="S269" s="11"/>
      <c r="T269" s="12" t="s">
        <v>20</v>
      </c>
      <c r="U269" s="12"/>
      <c r="V269" s="12"/>
      <c r="W269" s="51" t="s">
        <v>36</v>
      </c>
      <c r="X269" s="51" t="s">
        <v>56</v>
      </c>
      <c r="Y269" s="13" t="s">
        <v>69</v>
      </c>
      <c r="Z269" s="348"/>
      <c r="AA269" s="10" t="s">
        <v>548</v>
      </c>
      <c r="AB269" s="110" t="s">
        <v>37</v>
      </c>
      <c r="AC269" s="59"/>
      <c r="AD269" s="59"/>
      <c r="AE269" s="7"/>
      <c r="AF269" s="7"/>
      <c r="AG269" s="7">
        <f t="shared" si="277"/>
        <v>0</v>
      </c>
      <c r="AH269" s="7"/>
      <c r="AI269" s="7">
        <f t="shared" si="278"/>
        <v>0</v>
      </c>
      <c r="AJ269" s="7"/>
      <c r="AK269" s="59">
        <v>0</v>
      </c>
      <c r="AL269" s="59"/>
      <c r="AM269" s="59"/>
      <c r="AN269" s="59"/>
      <c r="AO269" s="59"/>
      <c r="AP269" s="59"/>
      <c r="AQ269" s="59"/>
      <c r="AR269" s="59"/>
      <c r="AS269" s="59"/>
      <c r="AT269" s="59"/>
      <c r="AU269" s="59"/>
      <c r="AV269" s="59"/>
      <c r="AW269" s="59"/>
      <c r="AX269" s="59"/>
      <c r="AY269" s="59"/>
      <c r="AZ269" s="59"/>
      <c r="BA269" s="59"/>
      <c r="BB269" s="59"/>
      <c r="BC269" s="59"/>
      <c r="BD269" s="59"/>
      <c r="BE269" s="59"/>
      <c r="BF269" s="59"/>
      <c r="BG269" s="59"/>
      <c r="BH269" s="59"/>
      <c r="BI269" s="59"/>
      <c r="BJ269" s="59"/>
      <c r="BK269" s="59"/>
      <c r="BL269" s="59"/>
      <c r="BM269" s="59"/>
      <c r="BN269" s="59"/>
      <c r="BO269" s="59"/>
      <c r="BP269" s="59"/>
      <c r="BQ269" s="59"/>
      <c r="BR269" s="59"/>
      <c r="BS269" s="59"/>
      <c r="BT269" s="59"/>
      <c r="BU269" s="59"/>
      <c r="BV269" s="59"/>
      <c r="BW269" s="59"/>
      <c r="BX269" s="59"/>
      <c r="BY269" s="59"/>
      <c r="BZ269" s="59"/>
      <c r="CA269" s="59"/>
      <c r="CB269" s="59"/>
      <c r="CC269" s="59"/>
      <c r="CD269" s="59"/>
      <c r="CE269" s="59"/>
      <c r="CF269" s="59"/>
      <c r="CG269" s="59">
        <v>0</v>
      </c>
      <c r="CH269" s="27">
        <v>4000000</v>
      </c>
      <c r="CI269" s="27"/>
      <c r="CJ269" s="27"/>
      <c r="CK269" s="27"/>
      <c r="CL269" s="7"/>
      <c r="CM269" s="27"/>
      <c r="CN269" s="7"/>
      <c r="CO269" s="27"/>
      <c r="CP269" s="27"/>
      <c r="CQ269" s="7"/>
      <c r="CR269" s="7"/>
      <c r="CS269" s="7"/>
      <c r="CT269" s="27"/>
      <c r="CU269" s="27"/>
      <c r="CV269" s="7"/>
      <c r="CW269" s="27"/>
      <c r="CX269" s="27"/>
      <c r="CY269" s="7"/>
      <c r="CZ269" s="27"/>
      <c r="DA269" s="27"/>
      <c r="DB269" s="7"/>
      <c r="DC269" s="27"/>
      <c r="DD269" s="7"/>
      <c r="DE269" s="27"/>
      <c r="DF269" s="7"/>
      <c r="DG269" s="27"/>
      <c r="DH269" s="7"/>
      <c r="DI269" s="27"/>
      <c r="DJ269" s="7"/>
      <c r="DK269" s="27"/>
      <c r="DL269" s="7"/>
      <c r="DM269" s="27"/>
      <c r="DN269" s="7"/>
      <c r="DO269" s="27"/>
      <c r="DP269" s="14"/>
      <c r="DQ269" s="14"/>
      <c r="DR269" s="7"/>
      <c r="DS269" s="7"/>
      <c r="DT269" s="7"/>
      <c r="DU269" s="15"/>
      <c r="DV269" s="15"/>
      <c r="DW269" s="7"/>
      <c r="DX269" s="7"/>
      <c r="DY269" s="27">
        <v>4000000</v>
      </c>
      <c r="DZ269" s="27"/>
      <c r="EA269" s="109"/>
    </row>
    <row r="270" spans="1:131" s="1" customFormat="1" hidden="1" x14ac:dyDescent="0.25">
      <c r="A270" s="61" t="s">
        <v>9</v>
      </c>
      <c r="B270" s="24"/>
      <c r="C270" s="61"/>
      <c r="D270" s="24"/>
      <c r="E270" s="3">
        <v>620005</v>
      </c>
      <c r="F270" s="353"/>
      <c r="G270" s="353"/>
      <c r="H270" s="353"/>
      <c r="I270" s="9" t="s">
        <v>42</v>
      </c>
      <c r="J270" s="10" t="s">
        <v>33</v>
      </c>
      <c r="K270" s="3"/>
      <c r="L270" s="11"/>
      <c r="M270" s="45"/>
      <c r="N270" s="3"/>
      <c r="O270" s="11"/>
      <c r="P270" s="3"/>
      <c r="Q270" s="3"/>
      <c r="R270" s="11" t="s">
        <v>198</v>
      </c>
      <c r="S270" s="11"/>
      <c r="T270" s="12" t="s">
        <v>20</v>
      </c>
      <c r="U270" s="12"/>
      <c r="V270" s="12"/>
      <c r="W270" s="51" t="s">
        <v>36</v>
      </c>
      <c r="X270" s="51" t="s">
        <v>56</v>
      </c>
      <c r="Y270" s="13" t="s">
        <v>69</v>
      </c>
      <c r="Z270" s="348"/>
      <c r="AA270" s="10" t="s">
        <v>549</v>
      </c>
      <c r="AB270" s="110" t="s">
        <v>37</v>
      </c>
      <c r="AC270" s="59"/>
      <c r="AD270" s="59"/>
      <c r="AE270" s="7"/>
      <c r="AF270" s="7"/>
      <c r="AG270" s="7">
        <f t="shared" si="277"/>
        <v>0</v>
      </c>
      <c r="AH270" s="7"/>
      <c r="AI270" s="7">
        <f t="shared" si="278"/>
        <v>0</v>
      </c>
      <c r="AJ270" s="7"/>
      <c r="AK270" s="59">
        <v>0</v>
      </c>
      <c r="AL270" s="59"/>
      <c r="AM270" s="59"/>
      <c r="AN270" s="59"/>
      <c r="AO270" s="59"/>
      <c r="AP270" s="59"/>
      <c r="AQ270" s="59"/>
      <c r="AR270" s="59"/>
      <c r="AS270" s="59"/>
      <c r="AT270" s="59"/>
      <c r="AU270" s="59"/>
      <c r="AV270" s="59"/>
      <c r="AW270" s="59"/>
      <c r="AX270" s="59"/>
      <c r="AY270" s="59"/>
      <c r="AZ270" s="59"/>
      <c r="BA270" s="59"/>
      <c r="BB270" s="59"/>
      <c r="BC270" s="59"/>
      <c r="BD270" s="59"/>
      <c r="BE270" s="59"/>
      <c r="BF270" s="59"/>
      <c r="BG270" s="59"/>
      <c r="BH270" s="59"/>
      <c r="BI270" s="59"/>
      <c r="BJ270" s="59"/>
      <c r="BK270" s="59"/>
      <c r="BL270" s="59"/>
      <c r="BM270" s="59"/>
      <c r="BN270" s="59"/>
      <c r="BO270" s="59"/>
      <c r="BP270" s="59"/>
      <c r="BQ270" s="59"/>
      <c r="BR270" s="59"/>
      <c r="BS270" s="59"/>
      <c r="BT270" s="59"/>
      <c r="BU270" s="59"/>
      <c r="BV270" s="59"/>
      <c r="BW270" s="59"/>
      <c r="BX270" s="59"/>
      <c r="BY270" s="59"/>
      <c r="BZ270" s="59"/>
      <c r="CA270" s="59"/>
      <c r="CB270" s="59"/>
      <c r="CC270" s="59"/>
      <c r="CD270" s="59"/>
      <c r="CE270" s="59"/>
      <c r="CF270" s="59"/>
      <c r="CG270" s="59">
        <v>0</v>
      </c>
      <c r="CH270" s="27">
        <v>5000000</v>
      </c>
      <c r="CI270" s="27"/>
      <c r="CJ270" s="27"/>
      <c r="CK270" s="27"/>
      <c r="CL270" s="7"/>
      <c r="CM270" s="27"/>
      <c r="CN270" s="7"/>
      <c r="CO270" s="27"/>
      <c r="CP270" s="27"/>
      <c r="CQ270" s="7"/>
      <c r="CR270" s="7"/>
      <c r="CS270" s="7"/>
      <c r="CT270" s="27"/>
      <c r="CU270" s="27"/>
      <c r="CV270" s="7"/>
      <c r="CW270" s="27"/>
      <c r="CX270" s="27"/>
      <c r="CY270" s="7"/>
      <c r="CZ270" s="27"/>
      <c r="DA270" s="27"/>
      <c r="DB270" s="7"/>
      <c r="DC270" s="27"/>
      <c r="DD270" s="7"/>
      <c r="DE270" s="27"/>
      <c r="DF270" s="7"/>
      <c r="DG270" s="27"/>
      <c r="DH270" s="7"/>
      <c r="DI270" s="27"/>
      <c r="DJ270" s="7"/>
      <c r="DK270" s="27"/>
      <c r="DL270" s="7"/>
      <c r="DM270" s="27"/>
      <c r="DN270" s="7"/>
      <c r="DO270" s="27"/>
      <c r="DP270" s="14"/>
      <c r="DQ270" s="14"/>
      <c r="DR270" s="7"/>
      <c r="DS270" s="7"/>
      <c r="DT270" s="7"/>
      <c r="DU270" s="15"/>
      <c r="DV270" s="15"/>
      <c r="DW270" s="7"/>
      <c r="DX270" s="7"/>
      <c r="DY270" s="27">
        <v>5000000</v>
      </c>
      <c r="DZ270" s="27"/>
      <c r="EA270" s="109"/>
    </row>
    <row r="271" spans="1:131" s="1" customFormat="1" hidden="1" x14ac:dyDescent="0.25">
      <c r="A271" s="61" t="s">
        <v>9</v>
      </c>
      <c r="B271" s="24"/>
      <c r="C271" s="61"/>
      <c r="D271" s="24"/>
      <c r="E271" s="3">
        <v>620005</v>
      </c>
      <c r="F271" s="353"/>
      <c r="G271" s="353"/>
      <c r="H271" s="353"/>
      <c r="I271" s="9" t="s">
        <v>42</v>
      </c>
      <c r="J271" s="10" t="s">
        <v>33</v>
      </c>
      <c r="K271" s="3"/>
      <c r="L271" s="11"/>
      <c r="M271" s="45"/>
      <c r="N271" s="3"/>
      <c r="O271" s="11"/>
      <c r="P271" s="3"/>
      <c r="Q271" s="3"/>
      <c r="R271" s="11" t="s">
        <v>198</v>
      </c>
      <c r="S271" s="11"/>
      <c r="T271" s="12" t="s">
        <v>20</v>
      </c>
      <c r="U271" s="12"/>
      <c r="V271" s="12"/>
      <c r="W271" s="51" t="s">
        <v>36</v>
      </c>
      <c r="X271" s="51" t="s">
        <v>56</v>
      </c>
      <c r="Y271" s="13" t="s">
        <v>69</v>
      </c>
      <c r="Z271" s="348"/>
      <c r="AA271" s="10" t="s">
        <v>550</v>
      </c>
      <c r="AB271" s="110" t="s">
        <v>37</v>
      </c>
      <c r="AC271" s="59"/>
      <c r="AD271" s="59"/>
      <c r="AE271" s="7"/>
      <c r="AF271" s="7"/>
      <c r="AG271" s="7">
        <f t="shared" si="277"/>
        <v>0</v>
      </c>
      <c r="AH271" s="7"/>
      <c r="AI271" s="7">
        <f t="shared" si="278"/>
        <v>0</v>
      </c>
      <c r="AJ271" s="7"/>
      <c r="AK271" s="59">
        <v>0</v>
      </c>
      <c r="AL271" s="59"/>
      <c r="AM271" s="59"/>
      <c r="AN271" s="59"/>
      <c r="AO271" s="59"/>
      <c r="AP271" s="59"/>
      <c r="AQ271" s="59"/>
      <c r="AR271" s="59"/>
      <c r="AS271" s="59"/>
      <c r="AT271" s="59"/>
      <c r="AU271" s="59"/>
      <c r="AV271" s="59"/>
      <c r="AW271" s="59"/>
      <c r="AX271" s="59"/>
      <c r="AY271" s="59"/>
      <c r="AZ271" s="59"/>
      <c r="BA271" s="59"/>
      <c r="BB271" s="59"/>
      <c r="BC271" s="59"/>
      <c r="BD271" s="59"/>
      <c r="BE271" s="59"/>
      <c r="BF271" s="59"/>
      <c r="BG271" s="59"/>
      <c r="BH271" s="59"/>
      <c r="BI271" s="59"/>
      <c r="BJ271" s="59"/>
      <c r="BK271" s="59"/>
      <c r="BL271" s="59"/>
      <c r="BM271" s="59"/>
      <c r="BN271" s="59"/>
      <c r="BO271" s="59"/>
      <c r="BP271" s="59"/>
      <c r="BQ271" s="59"/>
      <c r="BR271" s="59"/>
      <c r="BS271" s="59"/>
      <c r="BT271" s="59"/>
      <c r="BU271" s="59"/>
      <c r="BV271" s="59"/>
      <c r="BW271" s="59"/>
      <c r="BX271" s="59"/>
      <c r="BY271" s="59"/>
      <c r="BZ271" s="59"/>
      <c r="CA271" s="59"/>
      <c r="CB271" s="59"/>
      <c r="CC271" s="59"/>
      <c r="CD271" s="59"/>
      <c r="CE271" s="59"/>
      <c r="CF271" s="59"/>
      <c r="CG271" s="59">
        <v>0</v>
      </c>
      <c r="CH271" s="27">
        <v>2000000</v>
      </c>
      <c r="CI271" s="27"/>
      <c r="CJ271" s="27"/>
      <c r="CK271" s="27"/>
      <c r="CL271" s="7"/>
      <c r="CM271" s="27"/>
      <c r="CN271" s="7"/>
      <c r="CO271" s="27"/>
      <c r="CP271" s="27"/>
      <c r="CQ271" s="7"/>
      <c r="CR271" s="7"/>
      <c r="CS271" s="7"/>
      <c r="CT271" s="27"/>
      <c r="CU271" s="27"/>
      <c r="CV271" s="7"/>
      <c r="CW271" s="27"/>
      <c r="CX271" s="27"/>
      <c r="CY271" s="7"/>
      <c r="CZ271" s="27"/>
      <c r="DA271" s="27"/>
      <c r="DB271" s="7"/>
      <c r="DC271" s="27"/>
      <c r="DD271" s="7"/>
      <c r="DE271" s="27"/>
      <c r="DF271" s="7"/>
      <c r="DG271" s="27"/>
      <c r="DH271" s="7"/>
      <c r="DI271" s="27"/>
      <c r="DJ271" s="7"/>
      <c r="DK271" s="27"/>
      <c r="DL271" s="7"/>
      <c r="DM271" s="27"/>
      <c r="DN271" s="7"/>
      <c r="DO271" s="27"/>
      <c r="DP271" s="14"/>
      <c r="DQ271" s="14"/>
      <c r="DR271" s="7"/>
      <c r="DS271" s="7"/>
      <c r="DT271" s="7"/>
      <c r="DU271" s="15"/>
      <c r="DV271" s="15"/>
      <c r="DW271" s="7"/>
      <c r="DX271" s="7"/>
      <c r="DY271" s="27">
        <v>2000000</v>
      </c>
      <c r="DZ271" s="27"/>
      <c r="EA271" s="109"/>
    </row>
    <row r="272" spans="1:131" s="1" customFormat="1" hidden="1" x14ac:dyDescent="0.25">
      <c r="A272" s="61" t="s">
        <v>9</v>
      </c>
      <c r="B272" s="24"/>
      <c r="C272" s="61"/>
      <c r="D272" s="24"/>
      <c r="E272" s="3">
        <v>620005</v>
      </c>
      <c r="F272" s="353"/>
      <c r="G272" s="353"/>
      <c r="H272" s="353"/>
      <c r="I272" s="9" t="s">
        <v>42</v>
      </c>
      <c r="J272" s="10" t="s">
        <v>33</v>
      </c>
      <c r="K272" s="3"/>
      <c r="L272" s="11"/>
      <c r="M272" s="45"/>
      <c r="N272" s="3"/>
      <c r="O272" s="11"/>
      <c r="P272" s="3"/>
      <c r="Q272" s="3"/>
      <c r="R272" s="11" t="s">
        <v>198</v>
      </c>
      <c r="S272" s="11"/>
      <c r="T272" s="12" t="s">
        <v>20</v>
      </c>
      <c r="U272" s="12"/>
      <c r="V272" s="12"/>
      <c r="W272" s="51" t="s">
        <v>36</v>
      </c>
      <c r="X272" s="51" t="s">
        <v>56</v>
      </c>
      <c r="Y272" s="13" t="s">
        <v>69</v>
      </c>
      <c r="Z272" s="348"/>
      <c r="AA272" s="10" t="s">
        <v>551</v>
      </c>
      <c r="AB272" s="110" t="s">
        <v>37</v>
      </c>
      <c r="AC272" s="59"/>
      <c r="AD272" s="59"/>
      <c r="AE272" s="7"/>
      <c r="AF272" s="7"/>
      <c r="AG272" s="7">
        <f t="shared" si="277"/>
        <v>0</v>
      </c>
      <c r="AH272" s="7"/>
      <c r="AI272" s="7">
        <f t="shared" si="278"/>
        <v>0</v>
      </c>
      <c r="AJ272" s="7"/>
      <c r="AK272" s="59">
        <v>0</v>
      </c>
      <c r="AL272" s="59"/>
      <c r="AM272" s="59"/>
      <c r="AN272" s="59"/>
      <c r="AO272" s="59"/>
      <c r="AP272" s="59"/>
      <c r="AQ272" s="59"/>
      <c r="AR272" s="59"/>
      <c r="AS272" s="59"/>
      <c r="AT272" s="59"/>
      <c r="AU272" s="59"/>
      <c r="AV272" s="59"/>
      <c r="AW272" s="59"/>
      <c r="AX272" s="59"/>
      <c r="AY272" s="59"/>
      <c r="AZ272" s="59"/>
      <c r="BA272" s="59"/>
      <c r="BB272" s="59"/>
      <c r="BC272" s="59"/>
      <c r="BD272" s="59"/>
      <c r="BE272" s="59"/>
      <c r="BF272" s="59"/>
      <c r="BG272" s="59"/>
      <c r="BH272" s="59"/>
      <c r="BI272" s="59"/>
      <c r="BJ272" s="59"/>
      <c r="BK272" s="59"/>
      <c r="BL272" s="59"/>
      <c r="BM272" s="59"/>
      <c r="BN272" s="59"/>
      <c r="BO272" s="59"/>
      <c r="BP272" s="59"/>
      <c r="BQ272" s="59"/>
      <c r="BR272" s="59"/>
      <c r="BS272" s="59"/>
      <c r="BT272" s="59"/>
      <c r="BU272" s="59"/>
      <c r="BV272" s="59"/>
      <c r="BW272" s="59"/>
      <c r="BX272" s="59"/>
      <c r="BY272" s="59"/>
      <c r="BZ272" s="59"/>
      <c r="CA272" s="59"/>
      <c r="CB272" s="59"/>
      <c r="CC272" s="59"/>
      <c r="CD272" s="59"/>
      <c r="CE272" s="59"/>
      <c r="CF272" s="59"/>
      <c r="CG272" s="59">
        <v>0</v>
      </c>
      <c r="CH272" s="27">
        <v>1500000</v>
      </c>
      <c r="CI272" s="27"/>
      <c r="CJ272" s="27"/>
      <c r="CK272" s="27"/>
      <c r="CL272" s="7"/>
      <c r="CM272" s="27"/>
      <c r="CN272" s="7"/>
      <c r="CO272" s="27"/>
      <c r="CP272" s="27"/>
      <c r="CQ272" s="7"/>
      <c r="CR272" s="7"/>
      <c r="CS272" s="7"/>
      <c r="CT272" s="27"/>
      <c r="CU272" s="27"/>
      <c r="CV272" s="7"/>
      <c r="CW272" s="27"/>
      <c r="CX272" s="27"/>
      <c r="CY272" s="7"/>
      <c r="CZ272" s="27"/>
      <c r="DA272" s="27"/>
      <c r="DB272" s="7"/>
      <c r="DC272" s="27"/>
      <c r="DD272" s="7"/>
      <c r="DE272" s="27"/>
      <c r="DF272" s="7"/>
      <c r="DG272" s="27"/>
      <c r="DH272" s="7"/>
      <c r="DI272" s="27"/>
      <c r="DJ272" s="7"/>
      <c r="DK272" s="27"/>
      <c r="DL272" s="7"/>
      <c r="DM272" s="27"/>
      <c r="DN272" s="7"/>
      <c r="DO272" s="27"/>
      <c r="DP272" s="14"/>
      <c r="DQ272" s="14"/>
      <c r="DR272" s="7"/>
      <c r="DS272" s="7"/>
      <c r="DT272" s="7"/>
      <c r="DU272" s="15"/>
      <c r="DV272" s="15"/>
      <c r="DW272" s="7"/>
      <c r="DX272" s="7"/>
      <c r="DY272" s="27">
        <v>1500000</v>
      </c>
      <c r="DZ272" s="27"/>
      <c r="EA272" s="109"/>
    </row>
    <row r="273" spans="1:131" s="1" customFormat="1" hidden="1" x14ac:dyDescent="0.25">
      <c r="A273" s="61" t="s">
        <v>9</v>
      </c>
      <c r="B273" s="24"/>
      <c r="C273" s="61"/>
      <c r="D273" s="24"/>
      <c r="E273" s="3">
        <v>620005</v>
      </c>
      <c r="F273" s="353"/>
      <c r="G273" s="353"/>
      <c r="H273" s="353"/>
      <c r="I273" s="9" t="s">
        <v>42</v>
      </c>
      <c r="J273" s="10" t="s">
        <v>33</v>
      </c>
      <c r="K273" s="3"/>
      <c r="L273" s="11"/>
      <c r="M273" s="45"/>
      <c r="N273" s="3"/>
      <c r="O273" s="11"/>
      <c r="P273" s="3"/>
      <c r="Q273" s="3"/>
      <c r="R273" s="11" t="s">
        <v>198</v>
      </c>
      <c r="S273" s="11"/>
      <c r="T273" s="12" t="s">
        <v>20</v>
      </c>
      <c r="U273" s="12"/>
      <c r="V273" s="12"/>
      <c r="W273" s="51" t="s">
        <v>36</v>
      </c>
      <c r="X273" s="51" t="s">
        <v>56</v>
      </c>
      <c r="Y273" s="13" t="s">
        <v>69</v>
      </c>
      <c r="Z273" s="348"/>
      <c r="AA273" s="10" t="s">
        <v>552</v>
      </c>
      <c r="AB273" s="110" t="s">
        <v>37</v>
      </c>
      <c r="AC273" s="59"/>
      <c r="AD273" s="59"/>
      <c r="AE273" s="7"/>
      <c r="AF273" s="7"/>
      <c r="AG273" s="7">
        <f t="shared" si="277"/>
        <v>0</v>
      </c>
      <c r="AH273" s="7"/>
      <c r="AI273" s="7">
        <f t="shared" si="278"/>
        <v>0</v>
      </c>
      <c r="AJ273" s="7"/>
      <c r="AK273" s="59">
        <v>0</v>
      </c>
      <c r="AL273" s="59"/>
      <c r="AM273" s="59"/>
      <c r="AN273" s="59"/>
      <c r="AO273" s="59"/>
      <c r="AP273" s="59"/>
      <c r="AQ273" s="59"/>
      <c r="AR273" s="59"/>
      <c r="AS273" s="59"/>
      <c r="AT273" s="59"/>
      <c r="AU273" s="59"/>
      <c r="AV273" s="59"/>
      <c r="AW273" s="59"/>
      <c r="AX273" s="59"/>
      <c r="AY273" s="59"/>
      <c r="AZ273" s="59"/>
      <c r="BA273" s="59"/>
      <c r="BB273" s="59"/>
      <c r="BC273" s="59"/>
      <c r="BD273" s="59"/>
      <c r="BE273" s="59"/>
      <c r="BF273" s="59"/>
      <c r="BG273" s="59"/>
      <c r="BH273" s="59"/>
      <c r="BI273" s="59"/>
      <c r="BJ273" s="59"/>
      <c r="BK273" s="59"/>
      <c r="BL273" s="59"/>
      <c r="BM273" s="59"/>
      <c r="BN273" s="59"/>
      <c r="BO273" s="59"/>
      <c r="BP273" s="59"/>
      <c r="BQ273" s="59"/>
      <c r="BR273" s="59"/>
      <c r="BS273" s="59"/>
      <c r="BT273" s="59"/>
      <c r="BU273" s="59"/>
      <c r="BV273" s="59"/>
      <c r="BW273" s="59"/>
      <c r="BX273" s="59"/>
      <c r="BY273" s="59"/>
      <c r="BZ273" s="59"/>
      <c r="CA273" s="59"/>
      <c r="CB273" s="59"/>
      <c r="CC273" s="59"/>
      <c r="CD273" s="59"/>
      <c r="CE273" s="59"/>
      <c r="CF273" s="59"/>
      <c r="CG273" s="59">
        <v>0</v>
      </c>
      <c r="CH273" s="27">
        <v>1500000</v>
      </c>
      <c r="CI273" s="27"/>
      <c r="CJ273" s="27"/>
      <c r="CK273" s="27"/>
      <c r="CL273" s="7"/>
      <c r="CM273" s="27"/>
      <c r="CN273" s="7"/>
      <c r="CO273" s="27"/>
      <c r="CP273" s="27"/>
      <c r="CQ273" s="7"/>
      <c r="CR273" s="7"/>
      <c r="CS273" s="7"/>
      <c r="CT273" s="27"/>
      <c r="CU273" s="27"/>
      <c r="CV273" s="7"/>
      <c r="CW273" s="27"/>
      <c r="CX273" s="27"/>
      <c r="CY273" s="7"/>
      <c r="CZ273" s="27"/>
      <c r="DA273" s="27"/>
      <c r="DB273" s="7"/>
      <c r="DC273" s="27"/>
      <c r="DD273" s="7"/>
      <c r="DE273" s="27"/>
      <c r="DF273" s="7"/>
      <c r="DG273" s="27"/>
      <c r="DH273" s="7"/>
      <c r="DI273" s="27"/>
      <c r="DJ273" s="7"/>
      <c r="DK273" s="27"/>
      <c r="DL273" s="7"/>
      <c r="DM273" s="27"/>
      <c r="DN273" s="7"/>
      <c r="DO273" s="27"/>
      <c r="DP273" s="14"/>
      <c r="DQ273" s="14"/>
      <c r="DR273" s="7"/>
      <c r="DS273" s="7"/>
      <c r="DT273" s="7"/>
      <c r="DU273" s="15"/>
      <c r="DV273" s="15"/>
      <c r="DW273" s="7"/>
      <c r="DX273" s="7"/>
      <c r="DY273" s="27">
        <v>1500000</v>
      </c>
      <c r="DZ273" s="27"/>
      <c r="EA273" s="109"/>
    </row>
    <row r="274" spans="1:131" s="1" customFormat="1" hidden="1" x14ac:dyDescent="0.25">
      <c r="A274" s="61" t="s">
        <v>9</v>
      </c>
      <c r="B274" s="24"/>
      <c r="C274" s="61"/>
      <c r="D274" s="24"/>
      <c r="E274" s="3">
        <v>620005</v>
      </c>
      <c r="F274" s="353"/>
      <c r="G274" s="353"/>
      <c r="H274" s="353"/>
      <c r="I274" s="9" t="s">
        <v>42</v>
      </c>
      <c r="J274" s="10" t="s">
        <v>33</v>
      </c>
      <c r="K274" s="3"/>
      <c r="L274" s="11"/>
      <c r="M274" s="45"/>
      <c r="N274" s="3"/>
      <c r="O274" s="11"/>
      <c r="P274" s="3"/>
      <c r="Q274" s="3"/>
      <c r="R274" s="11" t="s">
        <v>198</v>
      </c>
      <c r="S274" s="11"/>
      <c r="T274" s="12" t="s">
        <v>20</v>
      </c>
      <c r="U274" s="12"/>
      <c r="V274" s="12"/>
      <c r="W274" s="51" t="s">
        <v>36</v>
      </c>
      <c r="X274" s="51" t="s">
        <v>56</v>
      </c>
      <c r="Y274" s="13" t="s">
        <v>69</v>
      </c>
      <c r="Z274" s="348"/>
      <c r="AA274" s="10" t="s">
        <v>553</v>
      </c>
      <c r="AB274" s="110" t="s">
        <v>37</v>
      </c>
      <c r="AC274" s="59"/>
      <c r="AD274" s="59"/>
      <c r="AE274" s="7"/>
      <c r="AF274" s="7"/>
      <c r="AG274" s="7">
        <f t="shared" si="277"/>
        <v>0</v>
      </c>
      <c r="AH274" s="7"/>
      <c r="AI274" s="7">
        <f t="shared" si="278"/>
        <v>0</v>
      </c>
      <c r="AJ274" s="7"/>
      <c r="AK274" s="59">
        <v>0</v>
      </c>
      <c r="AL274" s="59"/>
      <c r="AM274" s="59"/>
      <c r="AN274" s="59"/>
      <c r="AO274" s="59"/>
      <c r="AP274" s="59"/>
      <c r="AQ274" s="59"/>
      <c r="AR274" s="59"/>
      <c r="AS274" s="59"/>
      <c r="AT274" s="59"/>
      <c r="AU274" s="59"/>
      <c r="AV274" s="59"/>
      <c r="AW274" s="59"/>
      <c r="AX274" s="59"/>
      <c r="AY274" s="59"/>
      <c r="AZ274" s="59"/>
      <c r="BA274" s="59"/>
      <c r="BB274" s="59"/>
      <c r="BC274" s="59"/>
      <c r="BD274" s="59"/>
      <c r="BE274" s="59"/>
      <c r="BF274" s="59"/>
      <c r="BG274" s="59"/>
      <c r="BH274" s="59"/>
      <c r="BI274" s="59"/>
      <c r="BJ274" s="59"/>
      <c r="BK274" s="59"/>
      <c r="BL274" s="59"/>
      <c r="BM274" s="59"/>
      <c r="BN274" s="59"/>
      <c r="BO274" s="59"/>
      <c r="BP274" s="59"/>
      <c r="BQ274" s="59"/>
      <c r="BR274" s="59"/>
      <c r="BS274" s="59"/>
      <c r="BT274" s="59"/>
      <c r="BU274" s="59"/>
      <c r="BV274" s="59"/>
      <c r="BW274" s="59"/>
      <c r="BX274" s="59"/>
      <c r="BY274" s="59"/>
      <c r="BZ274" s="59"/>
      <c r="CA274" s="59"/>
      <c r="CB274" s="59"/>
      <c r="CC274" s="59"/>
      <c r="CD274" s="59"/>
      <c r="CE274" s="59"/>
      <c r="CF274" s="59"/>
      <c r="CG274" s="59">
        <v>0</v>
      </c>
      <c r="CH274" s="27">
        <v>1500000</v>
      </c>
      <c r="CI274" s="27"/>
      <c r="CJ274" s="27"/>
      <c r="CK274" s="27"/>
      <c r="CL274" s="7"/>
      <c r="CM274" s="27"/>
      <c r="CN274" s="7"/>
      <c r="CO274" s="27"/>
      <c r="CP274" s="27"/>
      <c r="CQ274" s="7"/>
      <c r="CR274" s="7"/>
      <c r="CS274" s="7"/>
      <c r="CT274" s="27"/>
      <c r="CU274" s="27"/>
      <c r="CV274" s="7"/>
      <c r="CW274" s="27"/>
      <c r="CX274" s="27"/>
      <c r="CY274" s="7"/>
      <c r="CZ274" s="27"/>
      <c r="DA274" s="27"/>
      <c r="DB274" s="7"/>
      <c r="DC274" s="27"/>
      <c r="DD274" s="7"/>
      <c r="DE274" s="27"/>
      <c r="DF274" s="7"/>
      <c r="DG274" s="27"/>
      <c r="DH274" s="7"/>
      <c r="DI274" s="27"/>
      <c r="DJ274" s="7"/>
      <c r="DK274" s="27"/>
      <c r="DL274" s="7"/>
      <c r="DM274" s="27"/>
      <c r="DN274" s="7"/>
      <c r="DO274" s="27"/>
      <c r="DP274" s="14"/>
      <c r="DQ274" s="14"/>
      <c r="DR274" s="7"/>
      <c r="DS274" s="7"/>
      <c r="DT274" s="7"/>
      <c r="DU274" s="15"/>
      <c r="DV274" s="15"/>
      <c r="DW274" s="7"/>
      <c r="DX274" s="7"/>
      <c r="DY274" s="27">
        <v>1500000</v>
      </c>
      <c r="DZ274" s="27"/>
      <c r="EA274" s="109"/>
    </row>
    <row r="275" spans="1:131" s="1" customFormat="1" hidden="1" x14ac:dyDescent="0.25">
      <c r="A275" s="61" t="s">
        <v>9</v>
      </c>
      <c r="B275" s="24"/>
      <c r="C275" s="61"/>
      <c r="D275" s="24"/>
      <c r="E275" s="3">
        <v>620005</v>
      </c>
      <c r="F275" s="353"/>
      <c r="G275" s="353"/>
      <c r="H275" s="353"/>
      <c r="I275" s="9" t="s">
        <v>42</v>
      </c>
      <c r="J275" s="10" t="s">
        <v>33</v>
      </c>
      <c r="K275" s="3"/>
      <c r="L275" s="11"/>
      <c r="M275" s="45"/>
      <c r="N275" s="3"/>
      <c r="O275" s="11"/>
      <c r="P275" s="3"/>
      <c r="Q275" s="3"/>
      <c r="R275" s="11" t="s">
        <v>198</v>
      </c>
      <c r="S275" s="11"/>
      <c r="T275" s="12" t="s">
        <v>20</v>
      </c>
      <c r="U275" s="12"/>
      <c r="V275" s="12"/>
      <c r="W275" s="51" t="s">
        <v>36</v>
      </c>
      <c r="X275" s="51" t="s">
        <v>56</v>
      </c>
      <c r="Y275" s="13" t="s">
        <v>69</v>
      </c>
      <c r="Z275" s="348"/>
      <c r="AA275" s="10" t="s">
        <v>554</v>
      </c>
      <c r="AB275" s="110" t="s">
        <v>37</v>
      </c>
      <c r="AC275" s="59"/>
      <c r="AD275" s="59"/>
      <c r="AE275" s="7"/>
      <c r="AF275" s="7"/>
      <c r="AG275" s="7">
        <f t="shared" si="277"/>
        <v>0</v>
      </c>
      <c r="AH275" s="7"/>
      <c r="AI275" s="7">
        <f t="shared" si="278"/>
        <v>0</v>
      </c>
      <c r="AJ275" s="7"/>
      <c r="AK275" s="59">
        <v>0</v>
      </c>
      <c r="AL275" s="59"/>
      <c r="AM275" s="59"/>
      <c r="AN275" s="59"/>
      <c r="AO275" s="59"/>
      <c r="AP275" s="59"/>
      <c r="AQ275" s="59"/>
      <c r="AR275" s="59"/>
      <c r="AS275" s="59"/>
      <c r="AT275" s="59"/>
      <c r="AU275" s="59"/>
      <c r="AV275" s="59"/>
      <c r="AW275" s="59"/>
      <c r="AX275" s="59"/>
      <c r="AY275" s="59"/>
      <c r="AZ275" s="59"/>
      <c r="BA275" s="59"/>
      <c r="BB275" s="59"/>
      <c r="BC275" s="59"/>
      <c r="BD275" s="59"/>
      <c r="BE275" s="59"/>
      <c r="BF275" s="59"/>
      <c r="BG275" s="59"/>
      <c r="BH275" s="59"/>
      <c r="BI275" s="59"/>
      <c r="BJ275" s="59"/>
      <c r="BK275" s="59"/>
      <c r="BL275" s="59"/>
      <c r="BM275" s="59"/>
      <c r="BN275" s="59"/>
      <c r="BO275" s="59"/>
      <c r="BP275" s="59"/>
      <c r="BQ275" s="59"/>
      <c r="BR275" s="59"/>
      <c r="BS275" s="59"/>
      <c r="BT275" s="59"/>
      <c r="BU275" s="59"/>
      <c r="BV275" s="59"/>
      <c r="BW275" s="59"/>
      <c r="BX275" s="59"/>
      <c r="BY275" s="59"/>
      <c r="BZ275" s="59"/>
      <c r="CA275" s="59"/>
      <c r="CB275" s="59"/>
      <c r="CC275" s="59"/>
      <c r="CD275" s="59"/>
      <c r="CE275" s="59"/>
      <c r="CF275" s="59"/>
      <c r="CG275" s="59">
        <v>0</v>
      </c>
      <c r="CH275" s="27">
        <v>1500000</v>
      </c>
      <c r="CI275" s="27"/>
      <c r="CJ275" s="27"/>
      <c r="CK275" s="27"/>
      <c r="CL275" s="7"/>
      <c r="CM275" s="27"/>
      <c r="CN275" s="7"/>
      <c r="CO275" s="27"/>
      <c r="CP275" s="27"/>
      <c r="CQ275" s="7"/>
      <c r="CR275" s="7"/>
      <c r="CS275" s="7"/>
      <c r="CT275" s="27"/>
      <c r="CU275" s="27"/>
      <c r="CV275" s="7"/>
      <c r="CW275" s="27"/>
      <c r="CX275" s="27"/>
      <c r="CY275" s="7"/>
      <c r="CZ275" s="27"/>
      <c r="DA275" s="27"/>
      <c r="DB275" s="7"/>
      <c r="DC275" s="27"/>
      <c r="DD275" s="7"/>
      <c r="DE275" s="27"/>
      <c r="DF275" s="7"/>
      <c r="DG275" s="27"/>
      <c r="DH275" s="7"/>
      <c r="DI275" s="27"/>
      <c r="DJ275" s="7"/>
      <c r="DK275" s="27"/>
      <c r="DL275" s="7"/>
      <c r="DM275" s="27"/>
      <c r="DN275" s="7"/>
      <c r="DO275" s="27"/>
      <c r="DP275" s="14"/>
      <c r="DQ275" s="14"/>
      <c r="DR275" s="7"/>
      <c r="DS275" s="7"/>
      <c r="DT275" s="7"/>
      <c r="DU275" s="15"/>
      <c r="DV275" s="15"/>
      <c r="DW275" s="7"/>
      <c r="DX275" s="7"/>
      <c r="DY275" s="27">
        <v>1500000</v>
      </c>
      <c r="DZ275" s="27"/>
      <c r="EA275" s="109"/>
    </row>
    <row r="276" spans="1:131" s="1" customFormat="1" hidden="1" x14ac:dyDescent="0.25">
      <c r="A276" s="61" t="s">
        <v>9</v>
      </c>
      <c r="B276" s="24"/>
      <c r="C276" s="61"/>
      <c r="D276" s="24"/>
      <c r="E276" s="3">
        <v>620005</v>
      </c>
      <c r="F276" s="353"/>
      <c r="G276" s="353"/>
      <c r="H276" s="353"/>
      <c r="I276" s="9" t="s">
        <v>42</v>
      </c>
      <c r="J276" s="10" t="s">
        <v>33</v>
      </c>
      <c r="K276" s="3"/>
      <c r="L276" s="11"/>
      <c r="M276" s="45"/>
      <c r="N276" s="3"/>
      <c r="O276" s="11"/>
      <c r="P276" s="3"/>
      <c r="Q276" s="3"/>
      <c r="R276" s="11" t="s">
        <v>198</v>
      </c>
      <c r="S276" s="11"/>
      <c r="T276" s="12" t="s">
        <v>20</v>
      </c>
      <c r="U276" s="12"/>
      <c r="V276" s="12"/>
      <c r="W276" s="51" t="s">
        <v>36</v>
      </c>
      <c r="X276" s="51" t="s">
        <v>56</v>
      </c>
      <c r="Y276" s="13" t="s">
        <v>69</v>
      </c>
      <c r="Z276" s="348"/>
      <c r="AA276" s="10" t="s">
        <v>555</v>
      </c>
      <c r="AB276" s="110" t="s">
        <v>37</v>
      </c>
      <c r="AC276" s="59"/>
      <c r="AD276" s="59"/>
      <c r="AE276" s="7"/>
      <c r="AF276" s="7"/>
      <c r="AG276" s="7">
        <f t="shared" si="277"/>
        <v>0</v>
      </c>
      <c r="AH276" s="7"/>
      <c r="AI276" s="7">
        <f t="shared" si="278"/>
        <v>0</v>
      </c>
      <c r="AJ276" s="7"/>
      <c r="AK276" s="59">
        <v>0</v>
      </c>
      <c r="AL276" s="59"/>
      <c r="AM276" s="59"/>
      <c r="AN276" s="59"/>
      <c r="AO276" s="59"/>
      <c r="AP276" s="59"/>
      <c r="AQ276" s="59"/>
      <c r="AR276" s="59"/>
      <c r="AS276" s="59"/>
      <c r="AT276" s="59"/>
      <c r="AU276" s="59"/>
      <c r="AV276" s="59"/>
      <c r="AW276" s="59"/>
      <c r="AX276" s="59"/>
      <c r="AY276" s="59"/>
      <c r="AZ276" s="59"/>
      <c r="BA276" s="59"/>
      <c r="BB276" s="59"/>
      <c r="BC276" s="59"/>
      <c r="BD276" s="59"/>
      <c r="BE276" s="59"/>
      <c r="BF276" s="59"/>
      <c r="BG276" s="59"/>
      <c r="BH276" s="59"/>
      <c r="BI276" s="59"/>
      <c r="BJ276" s="59"/>
      <c r="BK276" s="59"/>
      <c r="BL276" s="59"/>
      <c r="BM276" s="59"/>
      <c r="BN276" s="59"/>
      <c r="BO276" s="59"/>
      <c r="BP276" s="59"/>
      <c r="BQ276" s="59"/>
      <c r="BR276" s="59"/>
      <c r="BS276" s="59"/>
      <c r="BT276" s="59"/>
      <c r="BU276" s="59"/>
      <c r="BV276" s="59"/>
      <c r="BW276" s="59"/>
      <c r="BX276" s="59"/>
      <c r="BY276" s="59"/>
      <c r="BZ276" s="59"/>
      <c r="CA276" s="59"/>
      <c r="CB276" s="59"/>
      <c r="CC276" s="59"/>
      <c r="CD276" s="59"/>
      <c r="CE276" s="59"/>
      <c r="CF276" s="59"/>
      <c r="CG276" s="59">
        <v>0</v>
      </c>
      <c r="CH276" s="27">
        <v>1500000</v>
      </c>
      <c r="CI276" s="27"/>
      <c r="CJ276" s="27"/>
      <c r="CK276" s="27"/>
      <c r="CL276" s="7"/>
      <c r="CM276" s="27"/>
      <c r="CN276" s="7"/>
      <c r="CO276" s="27"/>
      <c r="CP276" s="27"/>
      <c r="CQ276" s="7"/>
      <c r="CR276" s="7"/>
      <c r="CS276" s="7"/>
      <c r="CT276" s="27"/>
      <c r="CU276" s="27"/>
      <c r="CV276" s="7"/>
      <c r="CW276" s="27"/>
      <c r="CX276" s="27"/>
      <c r="CY276" s="7"/>
      <c r="CZ276" s="27"/>
      <c r="DA276" s="27"/>
      <c r="DB276" s="7"/>
      <c r="DC276" s="27"/>
      <c r="DD276" s="7"/>
      <c r="DE276" s="27"/>
      <c r="DF276" s="7"/>
      <c r="DG276" s="27"/>
      <c r="DH276" s="7"/>
      <c r="DI276" s="27"/>
      <c r="DJ276" s="7"/>
      <c r="DK276" s="27"/>
      <c r="DL276" s="7"/>
      <c r="DM276" s="27"/>
      <c r="DN276" s="7"/>
      <c r="DO276" s="27"/>
      <c r="DP276" s="14"/>
      <c r="DQ276" s="14"/>
      <c r="DR276" s="7"/>
      <c r="DS276" s="7"/>
      <c r="DT276" s="7"/>
      <c r="DU276" s="15"/>
      <c r="DV276" s="15"/>
      <c r="DW276" s="7"/>
      <c r="DX276" s="7"/>
      <c r="DY276" s="27">
        <v>1500000</v>
      </c>
      <c r="DZ276" s="27"/>
      <c r="EA276" s="109"/>
    </row>
    <row r="277" spans="1:131" s="10" customFormat="1" hidden="1" x14ac:dyDescent="0.2">
      <c r="A277" s="68"/>
      <c r="B277" s="68"/>
      <c r="C277" s="68"/>
      <c r="D277" s="68"/>
      <c r="E277" s="69"/>
      <c r="F277" s="69"/>
      <c r="G277" s="69"/>
      <c r="H277" s="69"/>
      <c r="I277" s="68"/>
      <c r="J277" s="68"/>
      <c r="K277" s="69"/>
      <c r="L277" s="69"/>
      <c r="M277" s="69"/>
      <c r="N277" s="69"/>
      <c r="O277" s="69"/>
      <c r="P277" s="69"/>
      <c r="Q277" s="69"/>
      <c r="R277" s="69"/>
      <c r="S277" s="69"/>
      <c r="T277" s="70"/>
      <c r="U277" s="70"/>
      <c r="V277" s="70"/>
      <c r="W277" s="68"/>
      <c r="X277" s="68"/>
      <c r="Y277" s="50"/>
      <c r="Z277" s="50"/>
      <c r="AA277" s="71"/>
      <c r="AB277" s="70"/>
      <c r="AC277" s="72"/>
      <c r="AD277" s="72"/>
      <c r="AE277" s="73"/>
      <c r="AF277" s="73"/>
      <c r="AG277" s="73"/>
      <c r="AH277" s="73"/>
      <c r="AI277" s="73"/>
      <c r="AJ277" s="73"/>
      <c r="AK277" s="73"/>
      <c r="AL277" s="73"/>
      <c r="AM277" s="73"/>
      <c r="AN277" s="73"/>
      <c r="AO277" s="73"/>
      <c r="AP277" s="73"/>
      <c r="AQ277" s="73"/>
      <c r="AR277" s="73"/>
      <c r="AS277" s="73"/>
      <c r="AT277" s="73"/>
      <c r="AU277" s="73"/>
      <c r="AV277" s="73"/>
      <c r="AW277" s="73"/>
      <c r="AX277" s="73"/>
      <c r="AY277" s="73"/>
      <c r="AZ277" s="73"/>
      <c r="BA277" s="73"/>
      <c r="BB277" s="73"/>
      <c r="BC277" s="73"/>
      <c r="BD277" s="73"/>
      <c r="BE277" s="73"/>
      <c r="BF277" s="73"/>
      <c r="BG277" s="73"/>
      <c r="BH277" s="73"/>
      <c r="BI277" s="73"/>
      <c r="BJ277" s="73"/>
      <c r="BK277" s="73"/>
      <c r="BL277" s="73"/>
      <c r="BM277" s="73"/>
      <c r="BN277" s="73"/>
      <c r="BO277" s="73"/>
      <c r="BP277" s="73"/>
      <c r="BQ277" s="73"/>
      <c r="BR277" s="73"/>
      <c r="BS277" s="73"/>
      <c r="BT277" s="73"/>
      <c r="BU277" s="73"/>
      <c r="BV277" s="73"/>
      <c r="BW277" s="73"/>
      <c r="BX277" s="73"/>
      <c r="BY277" s="73"/>
      <c r="BZ277" s="73"/>
      <c r="CA277" s="73"/>
      <c r="CB277" s="73"/>
      <c r="CC277" s="73"/>
      <c r="CD277" s="73"/>
      <c r="CE277" s="73"/>
      <c r="CF277" s="73"/>
      <c r="CG277" s="72"/>
      <c r="CH277" s="73"/>
      <c r="CI277" s="73"/>
      <c r="CJ277" s="73"/>
      <c r="CK277" s="72"/>
      <c r="CL277" s="72"/>
      <c r="CM277" s="72"/>
      <c r="CN277" s="72"/>
      <c r="CO277" s="72"/>
      <c r="CP277" s="72"/>
      <c r="CQ277" s="73"/>
      <c r="CR277" s="73"/>
      <c r="CS277" s="73"/>
      <c r="CT277" s="72"/>
      <c r="CU277" s="72"/>
      <c r="CV277" s="72"/>
      <c r="CW277" s="72"/>
      <c r="CX277" s="72"/>
      <c r="CY277" s="72"/>
      <c r="CZ277" s="72"/>
      <c r="DA277" s="72"/>
      <c r="DB277" s="72"/>
      <c r="DC277" s="72"/>
      <c r="DD277" s="72"/>
      <c r="DE277" s="72"/>
      <c r="DF277" s="72"/>
      <c r="DG277" s="72"/>
      <c r="DH277" s="72"/>
      <c r="DI277" s="72"/>
      <c r="DJ277" s="72"/>
      <c r="DK277" s="72"/>
      <c r="DL277" s="72"/>
      <c r="DM277" s="72"/>
      <c r="DN277" s="72"/>
      <c r="DO277" s="72"/>
      <c r="DP277" s="75"/>
      <c r="DQ277" s="76"/>
      <c r="DR277" s="77"/>
      <c r="DS277" s="72"/>
      <c r="DT277" s="73"/>
      <c r="DU277" s="72"/>
      <c r="DV277" s="73"/>
      <c r="DW277" s="73"/>
      <c r="DX277" s="73"/>
      <c r="DY277" s="73"/>
      <c r="DZ277" s="73"/>
      <c r="EA277" s="319"/>
    </row>
    <row r="278" spans="1:131" s="10" customFormat="1" hidden="1" x14ac:dyDescent="0.2">
      <c r="A278" s="68"/>
      <c r="B278" s="68"/>
      <c r="C278" s="68"/>
      <c r="D278" s="68"/>
      <c r="E278" s="69"/>
      <c r="F278" s="69"/>
      <c r="G278" s="69"/>
      <c r="H278" s="69"/>
      <c r="I278" s="68"/>
      <c r="J278" s="68"/>
      <c r="K278" s="69"/>
      <c r="L278" s="69"/>
      <c r="M278" s="69"/>
      <c r="N278" s="69"/>
      <c r="O278" s="69"/>
      <c r="P278" s="69"/>
      <c r="Q278" s="69"/>
      <c r="R278" s="69"/>
      <c r="S278" s="69"/>
      <c r="T278" s="70"/>
      <c r="U278" s="70"/>
      <c r="V278" s="70"/>
      <c r="W278" s="68"/>
      <c r="X278" s="68"/>
      <c r="Y278" s="50"/>
      <c r="Z278" s="50"/>
      <c r="AA278" s="71"/>
      <c r="AB278" s="70"/>
      <c r="AC278" s="72"/>
      <c r="AD278" s="72"/>
      <c r="AE278" s="73"/>
      <c r="AF278" s="73"/>
      <c r="AG278" s="73"/>
      <c r="AH278" s="73"/>
      <c r="AI278" s="73"/>
      <c r="AJ278" s="73"/>
      <c r="AK278" s="73"/>
      <c r="AL278" s="73"/>
      <c r="AM278" s="73"/>
      <c r="AN278" s="73"/>
      <c r="AO278" s="73"/>
      <c r="AP278" s="73"/>
      <c r="AQ278" s="73"/>
      <c r="AR278" s="73"/>
      <c r="AS278" s="73"/>
      <c r="AT278" s="73"/>
      <c r="AU278" s="73"/>
      <c r="AV278" s="73"/>
      <c r="AW278" s="73"/>
      <c r="AX278" s="73"/>
      <c r="AY278" s="73"/>
      <c r="AZ278" s="73"/>
      <c r="BA278" s="73"/>
      <c r="BB278" s="73"/>
      <c r="BC278" s="73"/>
      <c r="BD278" s="73"/>
      <c r="BE278" s="73"/>
      <c r="BF278" s="73"/>
      <c r="BG278" s="73"/>
      <c r="BH278" s="73"/>
      <c r="BI278" s="73"/>
      <c r="BJ278" s="73"/>
      <c r="BK278" s="73"/>
      <c r="BL278" s="73"/>
      <c r="BM278" s="73"/>
      <c r="BN278" s="73"/>
      <c r="BO278" s="73"/>
      <c r="BP278" s="73"/>
      <c r="BQ278" s="73"/>
      <c r="BR278" s="73"/>
      <c r="BS278" s="73"/>
      <c r="BT278" s="73"/>
      <c r="BU278" s="73"/>
      <c r="BV278" s="73"/>
      <c r="BW278" s="73"/>
      <c r="BX278" s="73"/>
      <c r="BY278" s="73"/>
      <c r="BZ278" s="73"/>
      <c r="CA278" s="73"/>
      <c r="CB278" s="73"/>
      <c r="CC278" s="73"/>
      <c r="CD278" s="73"/>
      <c r="CE278" s="73"/>
      <c r="CF278" s="73"/>
      <c r="CG278" s="72"/>
      <c r="CH278" s="73"/>
      <c r="CI278" s="73"/>
      <c r="CJ278" s="73"/>
      <c r="CK278" s="72"/>
      <c r="CL278" s="72"/>
      <c r="CM278" s="72"/>
      <c r="CN278" s="72"/>
      <c r="CO278" s="72"/>
      <c r="CP278" s="72"/>
      <c r="CQ278" s="73"/>
      <c r="CR278" s="73"/>
      <c r="CS278" s="73"/>
      <c r="CT278" s="72"/>
      <c r="CU278" s="72"/>
      <c r="CV278" s="72"/>
      <c r="CW278" s="72"/>
      <c r="CX278" s="72"/>
      <c r="CY278" s="72"/>
      <c r="CZ278" s="72"/>
      <c r="DA278" s="72"/>
      <c r="DB278" s="72"/>
      <c r="DC278" s="72"/>
      <c r="DD278" s="72"/>
      <c r="DE278" s="72"/>
      <c r="DF278" s="72"/>
      <c r="DG278" s="72"/>
      <c r="DH278" s="72"/>
      <c r="DI278" s="72"/>
      <c r="DJ278" s="72"/>
      <c r="DK278" s="72"/>
      <c r="DL278" s="72"/>
      <c r="DM278" s="72"/>
      <c r="DN278" s="72"/>
      <c r="DO278" s="72"/>
      <c r="DP278" s="75"/>
      <c r="DQ278" s="76"/>
      <c r="DR278" s="77"/>
      <c r="DS278" s="72"/>
      <c r="DT278" s="73"/>
      <c r="DU278" s="72"/>
      <c r="DV278" s="73"/>
      <c r="DW278" s="73"/>
      <c r="DX278" s="73"/>
      <c r="DY278" s="73"/>
      <c r="DZ278" s="73"/>
      <c r="EA278" s="319"/>
    </row>
    <row r="279" spans="1:131" s="10" customFormat="1" hidden="1" x14ac:dyDescent="0.2">
      <c r="A279" s="68"/>
      <c r="B279" s="68"/>
      <c r="C279" s="68"/>
      <c r="D279" s="68"/>
      <c r="E279" s="69"/>
      <c r="F279" s="69"/>
      <c r="G279" s="69"/>
      <c r="H279" s="69"/>
      <c r="I279" s="68"/>
      <c r="J279" s="68"/>
      <c r="K279" s="69"/>
      <c r="L279" s="69"/>
      <c r="M279" s="69"/>
      <c r="N279" s="69"/>
      <c r="O279" s="69"/>
      <c r="P279" s="69"/>
      <c r="Q279" s="69"/>
      <c r="R279" s="69"/>
      <c r="S279" s="69"/>
      <c r="T279" s="70"/>
      <c r="U279" s="70"/>
      <c r="V279" s="70"/>
      <c r="W279" s="68"/>
      <c r="X279" s="68"/>
      <c r="Y279" s="50"/>
      <c r="Z279" s="50"/>
      <c r="AA279" s="71"/>
      <c r="AB279" s="70"/>
      <c r="AC279" s="72"/>
      <c r="AD279" s="72"/>
      <c r="AE279" s="73"/>
      <c r="AF279" s="73"/>
      <c r="AG279" s="73"/>
      <c r="AH279" s="73"/>
      <c r="AI279" s="73"/>
      <c r="AJ279" s="73"/>
      <c r="AK279" s="73"/>
      <c r="AL279" s="73"/>
      <c r="AM279" s="73"/>
      <c r="AN279" s="73"/>
      <c r="AO279" s="73"/>
      <c r="AP279" s="73"/>
      <c r="AQ279" s="73"/>
      <c r="AR279" s="73"/>
      <c r="AS279" s="73"/>
      <c r="AT279" s="73"/>
      <c r="AU279" s="73"/>
      <c r="AV279" s="73"/>
      <c r="AW279" s="73"/>
      <c r="AX279" s="73"/>
      <c r="AY279" s="73"/>
      <c r="AZ279" s="73"/>
      <c r="BA279" s="73"/>
      <c r="BB279" s="73"/>
      <c r="BC279" s="73"/>
      <c r="BD279" s="73"/>
      <c r="BE279" s="73"/>
      <c r="BF279" s="73"/>
      <c r="BG279" s="73"/>
      <c r="BH279" s="73"/>
      <c r="BI279" s="73"/>
      <c r="BJ279" s="73"/>
      <c r="BK279" s="73"/>
      <c r="BL279" s="73"/>
      <c r="BM279" s="73"/>
      <c r="BN279" s="73"/>
      <c r="BO279" s="73"/>
      <c r="BP279" s="73"/>
      <c r="BQ279" s="73"/>
      <c r="BR279" s="73"/>
      <c r="BS279" s="73"/>
      <c r="BT279" s="73"/>
      <c r="BU279" s="73"/>
      <c r="BV279" s="73"/>
      <c r="BW279" s="73"/>
      <c r="BX279" s="73"/>
      <c r="BY279" s="73"/>
      <c r="BZ279" s="73"/>
      <c r="CA279" s="73"/>
      <c r="CB279" s="73"/>
      <c r="CC279" s="73"/>
      <c r="CD279" s="73"/>
      <c r="CE279" s="73"/>
      <c r="CF279" s="73"/>
      <c r="CG279" s="72"/>
      <c r="CH279" s="73"/>
      <c r="CI279" s="73"/>
      <c r="CJ279" s="73"/>
      <c r="CK279" s="72"/>
      <c r="CL279" s="72"/>
      <c r="CM279" s="72"/>
      <c r="CN279" s="72"/>
      <c r="CO279" s="72"/>
      <c r="CP279" s="72"/>
      <c r="CQ279" s="73"/>
      <c r="CR279" s="73"/>
      <c r="CS279" s="73"/>
      <c r="CT279" s="72"/>
      <c r="CU279" s="72"/>
      <c r="CV279" s="72"/>
      <c r="CW279" s="72"/>
      <c r="CX279" s="72"/>
      <c r="CY279" s="72"/>
      <c r="CZ279" s="72"/>
      <c r="DA279" s="72"/>
      <c r="DB279" s="72"/>
      <c r="DC279" s="72"/>
      <c r="DD279" s="72"/>
      <c r="DE279" s="72"/>
      <c r="DF279" s="72"/>
      <c r="DG279" s="72"/>
      <c r="DH279" s="72"/>
      <c r="DI279" s="72"/>
      <c r="DJ279" s="72"/>
      <c r="DK279" s="72"/>
      <c r="DL279" s="72"/>
      <c r="DM279" s="72"/>
      <c r="DN279" s="72"/>
      <c r="DO279" s="72"/>
      <c r="DP279" s="75"/>
      <c r="DQ279" s="76"/>
      <c r="DR279" s="77"/>
      <c r="DS279" s="72"/>
      <c r="DT279" s="73"/>
      <c r="DU279" s="72"/>
      <c r="DV279" s="73"/>
      <c r="DW279" s="73"/>
      <c r="DX279" s="73"/>
      <c r="DY279" s="73"/>
      <c r="DZ279" s="73"/>
      <c r="EA279" s="319"/>
    </row>
    <row r="280" spans="1:131" s="10" customFormat="1" hidden="1" x14ac:dyDescent="0.2">
      <c r="A280" s="68"/>
      <c r="B280" s="68"/>
      <c r="C280" s="68"/>
      <c r="D280" s="68"/>
      <c r="E280" s="69"/>
      <c r="F280" s="69"/>
      <c r="G280" s="69"/>
      <c r="H280" s="69"/>
      <c r="I280" s="68"/>
      <c r="J280" s="68"/>
      <c r="K280" s="69"/>
      <c r="L280" s="69"/>
      <c r="M280" s="69"/>
      <c r="N280" s="69"/>
      <c r="O280" s="69"/>
      <c r="P280" s="69"/>
      <c r="Q280" s="69"/>
      <c r="R280" s="69"/>
      <c r="S280" s="69"/>
      <c r="T280" s="70"/>
      <c r="U280" s="70"/>
      <c r="V280" s="70"/>
      <c r="W280" s="68"/>
      <c r="X280" s="68"/>
      <c r="Y280" s="50"/>
      <c r="Z280" s="50"/>
      <c r="AA280" s="71"/>
      <c r="AB280" s="70"/>
      <c r="AC280" s="72"/>
      <c r="AD280" s="72"/>
      <c r="AE280" s="73"/>
      <c r="AF280" s="73"/>
      <c r="AG280" s="73"/>
      <c r="AH280" s="73"/>
      <c r="AI280" s="73"/>
      <c r="AJ280" s="73"/>
      <c r="AK280" s="73"/>
      <c r="AL280" s="73"/>
      <c r="AM280" s="73"/>
      <c r="AN280" s="73"/>
      <c r="AO280" s="73"/>
      <c r="AP280" s="73"/>
      <c r="AQ280" s="73"/>
      <c r="AR280" s="73"/>
      <c r="AS280" s="73"/>
      <c r="AT280" s="73"/>
      <c r="AU280" s="73"/>
      <c r="AV280" s="73"/>
      <c r="AW280" s="73"/>
      <c r="AX280" s="73"/>
      <c r="AY280" s="73"/>
      <c r="AZ280" s="73"/>
      <c r="BA280" s="73"/>
      <c r="BB280" s="73"/>
      <c r="BC280" s="73"/>
      <c r="BD280" s="73"/>
      <c r="BE280" s="73"/>
      <c r="BF280" s="73"/>
      <c r="BG280" s="73"/>
      <c r="BH280" s="73"/>
      <c r="BI280" s="73"/>
      <c r="BJ280" s="73"/>
      <c r="BK280" s="73"/>
      <c r="BL280" s="73"/>
      <c r="BM280" s="73"/>
      <c r="BN280" s="73"/>
      <c r="BO280" s="73"/>
      <c r="BP280" s="73"/>
      <c r="BQ280" s="73"/>
      <c r="BR280" s="73"/>
      <c r="BS280" s="73"/>
      <c r="BT280" s="73"/>
      <c r="BU280" s="73"/>
      <c r="BV280" s="73"/>
      <c r="BW280" s="73"/>
      <c r="BX280" s="73"/>
      <c r="BY280" s="73"/>
      <c r="BZ280" s="73"/>
      <c r="CA280" s="73"/>
      <c r="CB280" s="73"/>
      <c r="CC280" s="73"/>
      <c r="CD280" s="73"/>
      <c r="CE280" s="73"/>
      <c r="CF280" s="73"/>
      <c r="CG280" s="72"/>
      <c r="CH280" s="73"/>
      <c r="CI280" s="73"/>
      <c r="CJ280" s="73"/>
      <c r="CK280" s="72"/>
      <c r="CL280" s="72"/>
      <c r="CM280" s="72"/>
      <c r="CN280" s="72"/>
      <c r="CO280" s="72"/>
      <c r="CP280" s="72"/>
      <c r="CQ280" s="73"/>
      <c r="CR280" s="73"/>
      <c r="CS280" s="73"/>
      <c r="CT280" s="72"/>
      <c r="CU280" s="72"/>
      <c r="CV280" s="72"/>
      <c r="CW280" s="72"/>
      <c r="CX280" s="72"/>
      <c r="CY280" s="72"/>
      <c r="CZ280" s="72"/>
      <c r="DA280" s="72"/>
      <c r="DB280" s="72"/>
      <c r="DC280" s="72"/>
      <c r="DD280" s="72"/>
      <c r="DE280" s="72"/>
      <c r="DF280" s="72"/>
      <c r="DG280" s="72"/>
      <c r="DH280" s="72"/>
      <c r="DI280" s="72"/>
      <c r="DJ280" s="72"/>
      <c r="DK280" s="72"/>
      <c r="DL280" s="72"/>
      <c r="DM280" s="72"/>
      <c r="DN280" s="72"/>
      <c r="DO280" s="72"/>
      <c r="DP280" s="75"/>
      <c r="DQ280" s="76"/>
      <c r="DR280" s="77"/>
      <c r="DS280" s="72"/>
      <c r="DT280" s="73"/>
      <c r="DU280" s="72"/>
      <c r="DV280" s="73"/>
      <c r="DW280" s="73"/>
      <c r="DX280" s="73"/>
      <c r="DY280" s="73"/>
      <c r="DZ280" s="73"/>
      <c r="EA280" s="319"/>
    </row>
    <row r="281" spans="1:131" s="10" customFormat="1" hidden="1" x14ac:dyDescent="0.2">
      <c r="A281" s="68"/>
      <c r="B281" s="68"/>
      <c r="C281" s="68"/>
      <c r="D281" s="68"/>
      <c r="E281" s="69"/>
      <c r="F281" s="69"/>
      <c r="G281" s="69"/>
      <c r="H281" s="69"/>
      <c r="I281" s="68"/>
      <c r="J281" s="68"/>
      <c r="K281" s="69"/>
      <c r="L281" s="69"/>
      <c r="M281" s="69"/>
      <c r="N281" s="69"/>
      <c r="O281" s="69"/>
      <c r="P281" s="69"/>
      <c r="Q281" s="69"/>
      <c r="R281" s="69"/>
      <c r="S281" s="69"/>
      <c r="T281" s="70"/>
      <c r="U281" s="70"/>
      <c r="V281" s="70"/>
      <c r="W281" s="68"/>
      <c r="X281" s="68"/>
      <c r="Y281" s="50"/>
      <c r="Z281" s="50"/>
      <c r="AA281" s="71"/>
      <c r="AB281" s="70"/>
      <c r="AC281" s="72"/>
      <c r="AD281" s="72"/>
      <c r="AE281" s="73"/>
      <c r="AF281" s="73"/>
      <c r="AG281" s="73"/>
      <c r="AH281" s="73"/>
      <c r="AI281" s="73"/>
      <c r="AJ281" s="73"/>
      <c r="AK281" s="73"/>
      <c r="AL281" s="73"/>
      <c r="AM281" s="73"/>
      <c r="AN281" s="73"/>
      <c r="AO281" s="73"/>
      <c r="AP281" s="73"/>
      <c r="AQ281" s="73"/>
      <c r="AR281" s="73"/>
      <c r="AS281" s="73"/>
      <c r="AT281" s="73"/>
      <c r="AU281" s="73"/>
      <c r="AV281" s="73"/>
      <c r="AW281" s="73"/>
      <c r="AX281" s="73"/>
      <c r="AY281" s="73"/>
      <c r="AZ281" s="73"/>
      <c r="BA281" s="73"/>
      <c r="BB281" s="73"/>
      <c r="BC281" s="73"/>
      <c r="BD281" s="73"/>
      <c r="BE281" s="73"/>
      <c r="BF281" s="73"/>
      <c r="BG281" s="73"/>
      <c r="BH281" s="73"/>
      <c r="BI281" s="73"/>
      <c r="BJ281" s="73"/>
      <c r="BK281" s="73"/>
      <c r="BL281" s="73"/>
      <c r="BM281" s="73"/>
      <c r="BN281" s="73"/>
      <c r="BO281" s="73"/>
      <c r="BP281" s="73"/>
      <c r="BQ281" s="73"/>
      <c r="BR281" s="73"/>
      <c r="BS281" s="73"/>
      <c r="BT281" s="73"/>
      <c r="BU281" s="73"/>
      <c r="BV281" s="73"/>
      <c r="BW281" s="73"/>
      <c r="BX281" s="73"/>
      <c r="BY281" s="73"/>
      <c r="BZ281" s="73"/>
      <c r="CA281" s="73"/>
      <c r="CB281" s="73"/>
      <c r="CC281" s="73"/>
      <c r="CD281" s="73"/>
      <c r="CE281" s="73"/>
      <c r="CF281" s="73"/>
      <c r="CG281" s="72"/>
      <c r="CH281" s="73"/>
      <c r="CI281" s="73"/>
      <c r="CJ281" s="73"/>
      <c r="CK281" s="72"/>
      <c r="CL281" s="72"/>
      <c r="CM281" s="72"/>
      <c r="CN281" s="72"/>
      <c r="CO281" s="72"/>
      <c r="CP281" s="72"/>
      <c r="CQ281" s="73"/>
      <c r="CR281" s="73"/>
      <c r="CS281" s="73"/>
      <c r="CT281" s="72"/>
      <c r="CU281" s="72"/>
      <c r="CV281" s="72"/>
      <c r="CW281" s="72"/>
      <c r="CX281" s="72"/>
      <c r="CY281" s="72"/>
      <c r="CZ281" s="72"/>
      <c r="DA281" s="72"/>
      <c r="DB281" s="72"/>
      <c r="DC281" s="72"/>
      <c r="DD281" s="72"/>
      <c r="DE281" s="72"/>
      <c r="DF281" s="72"/>
      <c r="DG281" s="72"/>
      <c r="DH281" s="72"/>
      <c r="DI281" s="72"/>
      <c r="DJ281" s="72"/>
      <c r="DK281" s="72"/>
      <c r="DL281" s="72"/>
      <c r="DM281" s="72"/>
      <c r="DN281" s="72"/>
      <c r="DO281" s="72"/>
      <c r="DP281" s="75"/>
      <c r="DQ281" s="76"/>
      <c r="DR281" s="77"/>
      <c r="DS281" s="72"/>
      <c r="DT281" s="73"/>
      <c r="DU281" s="72"/>
      <c r="DV281" s="73"/>
      <c r="DW281" s="73"/>
      <c r="DX281" s="73"/>
      <c r="DY281" s="73"/>
      <c r="DZ281" s="73"/>
      <c r="EA281" s="319"/>
    </row>
    <row r="282" spans="1:131" s="10" customFormat="1" hidden="1" x14ac:dyDescent="0.2">
      <c r="A282" s="68"/>
      <c r="B282" s="68"/>
      <c r="C282" s="68"/>
      <c r="D282" s="68"/>
      <c r="E282" s="69"/>
      <c r="F282" s="69"/>
      <c r="G282" s="69"/>
      <c r="H282" s="69"/>
      <c r="I282" s="68"/>
      <c r="J282" s="68"/>
      <c r="K282" s="69"/>
      <c r="L282" s="69"/>
      <c r="M282" s="69"/>
      <c r="N282" s="69"/>
      <c r="O282" s="69"/>
      <c r="P282" s="69"/>
      <c r="Q282" s="69"/>
      <c r="R282" s="69"/>
      <c r="S282" s="69"/>
      <c r="T282" s="70"/>
      <c r="U282" s="70"/>
      <c r="V282" s="70"/>
      <c r="W282" s="68"/>
      <c r="X282" s="68"/>
      <c r="Y282" s="50"/>
      <c r="Z282" s="50"/>
      <c r="AA282" s="71"/>
      <c r="AB282" s="70"/>
      <c r="AC282" s="72"/>
      <c r="AD282" s="72"/>
      <c r="AE282" s="73"/>
      <c r="AF282" s="73"/>
      <c r="AG282" s="73"/>
      <c r="AH282" s="73"/>
      <c r="AI282" s="73"/>
      <c r="AJ282" s="73"/>
      <c r="AK282" s="73"/>
      <c r="AL282" s="73"/>
      <c r="AM282" s="73"/>
      <c r="AN282" s="73"/>
      <c r="AO282" s="73"/>
      <c r="AP282" s="73"/>
      <c r="AQ282" s="73"/>
      <c r="AR282" s="73"/>
      <c r="AS282" s="73"/>
      <c r="AT282" s="73"/>
      <c r="AU282" s="73"/>
      <c r="AV282" s="73"/>
      <c r="AW282" s="73"/>
      <c r="AX282" s="73"/>
      <c r="AY282" s="73"/>
      <c r="AZ282" s="73"/>
      <c r="BA282" s="73"/>
      <c r="BB282" s="73"/>
      <c r="BC282" s="73"/>
      <c r="BD282" s="73"/>
      <c r="BE282" s="73"/>
      <c r="BF282" s="73"/>
      <c r="BG282" s="73"/>
      <c r="BH282" s="73"/>
      <c r="BI282" s="73"/>
      <c r="BJ282" s="73"/>
      <c r="BK282" s="73"/>
      <c r="BL282" s="73"/>
      <c r="BM282" s="73"/>
      <c r="BN282" s="73"/>
      <c r="BO282" s="73"/>
      <c r="BP282" s="73"/>
      <c r="BQ282" s="73"/>
      <c r="BR282" s="73"/>
      <c r="BS282" s="73"/>
      <c r="BT282" s="73"/>
      <c r="BU282" s="73"/>
      <c r="BV282" s="73"/>
      <c r="BW282" s="73"/>
      <c r="BX282" s="73"/>
      <c r="BY282" s="73"/>
      <c r="BZ282" s="73"/>
      <c r="CA282" s="73"/>
      <c r="CB282" s="73"/>
      <c r="CC282" s="73"/>
      <c r="CD282" s="73"/>
      <c r="CE282" s="73"/>
      <c r="CF282" s="73"/>
      <c r="CG282" s="72"/>
      <c r="CH282" s="73"/>
      <c r="CI282" s="73"/>
      <c r="CJ282" s="73"/>
      <c r="CK282" s="72"/>
      <c r="CL282" s="72"/>
      <c r="CM282" s="72"/>
      <c r="CN282" s="72"/>
      <c r="CO282" s="72"/>
      <c r="CP282" s="72"/>
      <c r="CQ282" s="73"/>
      <c r="CR282" s="73"/>
      <c r="CS282" s="73"/>
      <c r="CT282" s="72"/>
      <c r="CU282" s="72"/>
      <c r="CV282" s="72"/>
      <c r="CW282" s="72"/>
      <c r="CX282" s="72"/>
      <c r="CY282" s="72"/>
      <c r="CZ282" s="72"/>
      <c r="DA282" s="72"/>
      <c r="DB282" s="72"/>
      <c r="DC282" s="72"/>
      <c r="DD282" s="72"/>
      <c r="DE282" s="72"/>
      <c r="DF282" s="72"/>
      <c r="DG282" s="72"/>
      <c r="DH282" s="72"/>
      <c r="DI282" s="72"/>
      <c r="DJ282" s="72"/>
      <c r="DK282" s="72"/>
      <c r="DL282" s="72"/>
      <c r="DM282" s="72"/>
      <c r="DN282" s="72"/>
      <c r="DO282" s="72"/>
      <c r="DP282" s="75"/>
      <c r="DQ282" s="76"/>
      <c r="DR282" s="77"/>
      <c r="DS282" s="72"/>
      <c r="DT282" s="73"/>
      <c r="DU282" s="72"/>
      <c r="DV282" s="73"/>
      <c r="DW282" s="73"/>
      <c r="DX282" s="73"/>
      <c r="DY282" s="73"/>
      <c r="DZ282" s="73"/>
      <c r="EA282" s="319"/>
    </row>
    <row r="283" spans="1:131" s="10" customFormat="1" hidden="1" x14ac:dyDescent="0.2">
      <c r="A283" s="68"/>
      <c r="B283" s="68"/>
      <c r="C283" s="68"/>
      <c r="D283" s="68"/>
      <c r="E283" s="69"/>
      <c r="F283" s="69"/>
      <c r="G283" s="69"/>
      <c r="H283" s="69"/>
      <c r="I283" s="68"/>
      <c r="J283" s="68"/>
      <c r="K283" s="69"/>
      <c r="L283" s="69"/>
      <c r="M283" s="69"/>
      <c r="N283" s="69"/>
      <c r="O283" s="69"/>
      <c r="P283" s="69"/>
      <c r="Q283" s="69"/>
      <c r="R283" s="69"/>
      <c r="S283" s="69"/>
      <c r="T283" s="70"/>
      <c r="U283" s="70"/>
      <c r="V283" s="70"/>
      <c r="W283" s="68"/>
      <c r="X283" s="68"/>
      <c r="Y283" s="50"/>
      <c r="Z283" s="50"/>
      <c r="AA283" s="71"/>
      <c r="AB283" s="70"/>
      <c r="AC283" s="72"/>
      <c r="AD283" s="72"/>
      <c r="AE283" s="73"/>
      <c r="AF283" s="73"/>
      <c r="AG283" s="73"/>
      <c r="AH283" s="73"/>
      <c r="AI283" s="73"/>
      <c r="AJ283" s="73"/>
      <c r="AK283" s="73"/>
      <c r="AL283" s="73"/>
      <c r="AM283" s="73"/>
      <c r="AN283" s="73"/>
      <c r="AO283" s="73"/>
      <c r="AP283" s="73"/>
      <c r="AQ283" s="73"/>
      <c r="AR283" s="73"/>
      <c r="AS283" s="73"/>
      <c r="AT283" s="73"/>
      <c r="AU283" s="73"/>
      <c r="AV283" s="73"/>
      <c r="AW283" s="73"/>
      <c r="AX283" s="73"/>
      <c r="AY283" s="73"/>
      <c r="AZ283" s="73"/>
      <c r="BA283" s="73"/>
      <c r="BB283" s="73"/>
      <c r="BC283" s="73"/>
      <c r="BD283" s="73"/>
      <c r="BE283" s="73"/>
      <c r="BF283" s="73"/>
      <c r="BG283" s="73"/>
      <c r="BH283" s="73"/>
      <c r="BI283" s="73"/>
      <c r="BJ283" s="73"/>
      <c r="BK283" s="73"/>
      <c r="BL283" s="73"/>
      <c r="BM283" s="73"/>
      <c r="BN283" s="73"/>
      <c r="BO283" s="73"/>
      <c r="BP283" s="73"/>
      <c r="BQ283" s="73"/>
      <c r="BR283" s="73"/>
      <c r="BS283" s="73"/>
      <c r="BT283" s="73"/>
      <c r="BU283" s="73"/>
      <c r="BV283" s="73"/>
      <c r="BW283" s="73"/>
      <c r="BX283" s="73"/>
      <c r="BY283" s="73"/>
      <c r="BZ283" s="73"/>
      <c r="CA283" s="73"/>
      <c r="CB283" s="73"/>
      <c r="CC283" s="73"/>
      <c r="CD283" s="73"/>
      <c r="CE283" s="73"/>
      <c r="CF283" s="73"/>
      <c r="CG283" s="72"/>
      <c r="CH283" s="73"/>
      <c r="CI283" s="73"/>
      <c r="CJ283" s="73"/>
      <c r="CK283" s="72"/>
      <c r="CL283" s="72"/>
      <c r="CM283" s="72"/>
      <c r="CN283" s="72"/>
      <c r="CO283" s="72"/>
      <c r="CP283" s="72"/>
      <c r="CQ283" s="73"/>
      <c r="CR283" s="73"/>
      <c r="CS283" s="73"/>
      <c r="CT283" s="72"/>
      <c r="CU283" s="72"/>
      <c r="CV283" s="72"/>
      <c r="CW283" s="72"/>
      <c r="CX283" s="72"/>
      <c r="CY283" s="72"/>
      <c r="CZ283" s="72"/>
      <c r="DA283" s="72"/>
      <c r="DB283" s="72"/>
      <c r="DC283" s="72"/>
      <c r="DD283" s="72"/>
      <c r="DE283" s="72"/>
      <c r="DF283" s="72"/>
      <c r="DG283" s="72"/>
      <c r="DH283" s="72"/>
      <c r="DI283" s="72"/>
      <c r="DJ283" s="72"/>
      <c r="DK283" s="72"/>
      <c r="DL283" s="72"/>
      <c r="DM283" s="72"/>
      <c r="DN283" s="72"/>
      <c r="DO283" s="72"/>
      <c r="DP283" s="75"/>
      <c r="DQ283" s="76"/>
      <c r="DR283" s="77"/>
      <c r="DS283" s="72"/>
      <c r="DT283" s="73"/>
      <c r="DU283" s="72"/>
      <c r="DV283" s="73"/>
      <c r="DW283" s="73"/>
      <c r="DX283" s="73"/>
      <c r="DY283" s="73"/>
      <c r="DZ283" s="73"/>
      <c r="EA283" s="319"/>
    </row>
    <row r="284" spans="1:131" s="10" customFormat="1" hidden="1" x14ac:dyDescent="0.2">
      <c r="A284" s="68"/>
      <c r="B284" s="68"/>
      <c r="C284" s="68"/>
      <c r="D284" s="68"/>
      <c r="E284" s="69"/>
      <c r="F284" s="69"/>
      <c r="G284" s="69"/>
      <c r="H284" s="69"/>
      <c r="I284" s="68"/>
      <c r="J284" s="68"/>
      <c r="K284" s="69"/>
      <c r="L284" s="69"/>
      <c r="M284" s="69"/>
      <c r="N284" s="69"/>
      <c r="O284" s="69"/>
      <c r="P284" s="69"/>
      <c r="Q284" s="69"/>
      <c r="R284" s="69"/>
      <c r="S284" s="69"/>
      <c r="T284" s="70"/>
      <c r="U284" s="70"/>
      <c r="V284" s="70"/>
      <c r="W284" s="68"/>
      <c r="X284" s="68"/>
      <c r="Y284" s="50"/>
      <c r="Z284" s="50"/>
      <c r="AA284" s="71"/>
      <c r="AB284" s="70"/>
      <c r="AC284" s="72"/>
      <c r="AD284" s="72"/>
      <c r="AE284" s="73"/>
      <c r="AF284" s="73"/>
      <c r="AG284" s="73"/>
      <c r="AH284" s="73"/>
      <c r="AI284" s="73"/>
      <c r="AJ284" s="73"/>
      <c r="AK284" s="73"/>
      <c r="AL284" s="73"/>
      <c r="AM284" s="73"/>
      <c r="AN284" s="73"/>
      <c r="AO284" s="73"/>
      <c r="AP284" s="73"/>
      <c r="AQ284" s="73"/>
      <c r="AR284" s="73"/>
      <c r="AS284" s="73"/>
      <c r="AT284" s="73"/>
      <c r="AU284" s="73"/>
      <c r="AV284" s="73"/>
      <c r="AW284" s="73"/>
      <c r="AX284" s="73"/>
      <c r="AY284" s="73"/>
      <c r="AZ284" s="73"/>
      <c r="BA284" s="73"/>
      <c r="BB284" s="73"/>
      <c r="BC284" s="73"/>
      <c r="BD284" s="73"/>
      <c r="BE284" s="73"/>
      <c r="BF284" s="73"/>
      <c r="BG284" s="73"/>
      <c r="BH284" s="73"/>
      <c r="BI284" s="73"/>
      <c r="BJ284" s="73"/>
      <c r="BK284" s="73"/>
      <c r="BL284" s="73"/>
      <c r="BM284" s="73"/>
      <c r="BN284" s="73"/>
      <c r="BO284" s="73"/>
      <c r="BP284" s="73"/>
      <c r="BQ284" s="73"/>
      <c r="BR284" s="73"/>
      <c r="BS284" s="73"/>
      <c r="BT284" s="73"/>
      <c r="BU284" s="73"/>
      <c r="BV284" s="73"/>
      <c r="BW284" s="73"/>
      <c r="BX284" s="73"/>
      <c r="BY284" s="73"/>
      <c r="BZ284" s="73"/>
      <c r="CA284" s="73"/>
      <c r="CB284" s="73"/>
      <c r="CC284" s="73"/>
      <c r="CD284" s="73"/>
      <c r="CE284" s="73"/>
      <c r="CF284" s="73"/>
      <c r="CG284" s="72"/>
      <c r="CH284" s="73"/>
      <c r="CI284" s="73"/>
      <c r="CJ284" s="73"/>
      <c r="CK284" s="72"/>
      <c r="CL284" s="72"/>
      <c r="CM284" s="72"/>
      <c r="CN284" s="72"/>
      <c r="CO284" s="72"/>
      <c r="CP284" s="72"/>
      <c r="CQ284" s="73"/>
      <c r="CR284" s="73"/>
      <c r="CS284" s="73"/>
      <c r="CT284" s="72"/>
      <c r="CU284" s="72"/>
      <c r="CV284" s="72"/>
      <c r="CW284" s="72"/>
      <c r="CX284" s="72"/>
      <c r="CY284" s="72"/>
      <c r="CZ284" s="72"/>
      <c r="DA284" s="72"/>
      <c r="DB284" s="72"/>
      <c r="DC284" s="72"/>
      <c r="DD284" s="72"/>
      <c r="DE284" s="72"/>
      <c r="DF284" s="72"/>
      <c r="DG284" s="72"/>
      <c r="DH284" s="72"/>
      <c r="DI284" s="72"/>
      <c r="DJ284" s="72"/>
      <c r="DK284" s="72"/>
      <c r="DL284" s="72"/>
      <c r="DM284" s="72"/>
      <c r="DN284" s="72"/>
      <c r="DO284" s="72"/>
      <c r="DP284" s="75"/>
      <c r="DQ284" s="76"/>
      <c r="DR284" s="77"/>
      <c r="DS284" s="72"/>
      <c r="DT284" s="73"/>
      <c r="DU284" s="72"/>
      <c r="DV284" s="73"/>
      <c r="DW284" s="73"/>
      <c r="DX284" s="73"/>
      <c r="DY284" s="73"/>
      <c r="DZ284" s="73"/>
      <c r="EA284" s="319"/>
    </row>
    <row r="285" spans="1:131" s="10" customFormat="1" hidden="1" x14ac:dyDescent="0.2">
      <c r="A285" s="68"/>
      <c r="B285" s="68"/>
      <c r="C285" s="68"/>
      <c r="D285" s="68"/>
      <c r="E285" s="69"/>
      <c r="F285" s="69"/>
      <c r="G285" s="69"/>
      <c r="H285" s="69"/>
      <c r="I285" s="68"/>
      <c r="J285" s="68"/>
      <c r="K285" s="69"/>
      <c r="L285" s="69"/>
      <c r="M285" s="69"/>
      <c r="N285" s="69"/>
      <c r="O285" s="69"/>
      <c r="P285" s="69"/>
      <c r="Q285" s="69"/>
      <c r="R285" s="69"/>
      <c r="S285" s="69"/>
      <c r="T285" s="70"/>
      <c r="U285" s="70"/>
      <c r="V285" s="70"/>
      <c r="W285" s="68"/>
      <c r="X285" s="68"/>
      <c r="Y285" s="50"/>
      <c r="Z285" s="50"/>
      <c r="AA285" s="71"/>
      <c r="AB285" s="70"/>
      <c r="AC285" s="72"/>
      <c r="AD285" s="72"/>
      <c r="AE285" s="73"/>
      <c r="AF285" s="73"/>
      <c r="AG285" s="73"/>
      <c r="AH285" s="73"/>
      <c r="AI285" s="73"/>
      <c r="AJ285" s="73"/>
      <c r="AK285" s="73">
        <v>86530409</v>
      </c>
      <c r="AL285" s="73"/>
      <c r="AM285" s="73"/>
      <c r="AN285" s="73"/>
      <c r="AO285" s="73"/>
      <c r="AP285" s="73"/>
      <c r="AQ285" s="73"/>
      <c r="AR285" s="73"/>
      <c r="AS285" s="73"/>
      <c r="AT285" s="73"/>
      <c r="AU285" s="73"/>
      <c r="AV285" s="73"/>
      <c r="AW285" s="73"/>
      <c r="AX285" s="73"/>
      <c r="AY285" s="73"/>
      <c r="AZ285" s="73"/>
      <c r="BA285" s="73"/>
      <c r="BB285" s="73"/>
      <c r="BC285" s="73"/>
      <c r="BD285" s="73"/>
      <c r="BE285" s="73"/>
      <c r="BF285" s="73"/>
      <c r="BG285" s="73"/>
      <c r="BH285" s="73"/>
      <c r="BI285" s="73"/>
      <c r="BJ285" s="73"/>
      <c r="BK285" s="73"/>
      <c r="BL285" s="73"/>
      <c r="BM285" s="73"/>
      <c r="BN285" s="73"/>
      <c r="BO285" s="73"/>
      <c r="BP285" s="73"/>
      <c r="BQ285" s="73"/>
      <c r="BR285" s="73"/>
      <c r="BS285" s="73"/>
      <c r="BT285" s="73"/>
      <c r="BU285" s="73"/>
      <c r="BV285" s="73"/>
      <c r="BW285" s="73"/>
      <c r="BX285" s="73"/>
      <c r="BY285" s="73"/>
      <c r="BZ285" s="73"/>
      <c r="CA285" s="73"/>
      <c r="CB285" s="73"/>
      <c r="CC285" s="73"/>
      <c r="CD285" s="73"/>
      <c r="CE285" s="73"/>
      <c r="CF285" s="73"/>
      <c r="CG285" s="72">
        <v>75960100</v>
      </c>
      <c r="CH285" s="73"/>
      <c r="CI285" s="73"/>
      <c r="CJ285" s="73"/>
      <c r="CK285" s="72"/>
      <c r="CL285" s="72"/>
      <c r="CM285" s="72"/>
      <c r="CN285" s="72"/>
      <c r="CO285" s="72"/>
      <c r="CP285" s="72"/>
      <c r="CQ285" s="73"/>
      <c r="CR285" s="73"/>
      <c r="CS285" s="73"/>
      <c r="CT285" s="72"/>
      <c r="CU285" s="72"/>
      <c r="CV285" s="72"/>
      <c r="CW285" s="72"/>
      <c r="CX285" s="72"/>
      <c r="CY285" s="72"/>
      <c r="CZ285" s="72"/>
      <c r="DA285" s="72"/>
      <c r="DB285" s="72"/>
      <c r="DC285" s="72"/>
      <c r="DD285" s="72"/>
      <c r="DE285" s="72"/>
      <c r="DF285" s="72"/>
      <c r="DG285" s="72"/>
      <c r="DH285" s="72"/>
      <c r="DI285" s="72"/>
      <c r="DJ285" s="72"/>
      <c r="DK285" s="72"/>
      <c r="DL285" s="72"/>
      <c r="DM285" s="72"/>
      <c r="DN285" s="72"/>
      <c r="DO285" s="72"/>
      <c r="DP285" s="75"/>
      <c r="DQ285" s="76"/>
      <c r="DR285" s="77"/>
      <c r="DS285" s="72"/>
      <c r="DT285" s="73"/>
      <c r="DU285" s="72"/>
      <c r="DV285" s="73"/>
      <c r="DW285" s="73"/>
      <c r="DX285" s="73"/>
      <c r="DY285" s="73"/>
      <c r="DZ285" s="73"/>
      <c r="EA285" s="319"/>
    </row>
    <row r="286" spans="1:131" s="10" customFormat="1" hidden="1" x14ac:dyDescent="0.2">
      <c r="A286" s="68"/>
      <c r="B286" s="68"/>
      <c r="C286" s="68"/>
      <c r="D286" s="68"/>
      <c r="E286" s="69"/>
      <c r="F286" s="69"/>
      <c r="G286" s="69"/>
      <c r="H286" s="69"/>
      <c r="I286" s="68"/>
      <c r="J286" s="68"/>
      <c r="K286" s="69"/>
      <c r="L286" s="69"/>
      <c r="M286" s="69"/>
      <c r="N286" s="69"/>
      <c r="O286" s="69"/>
      <c r="P286" s="69"/>
      <c r="Q286" s="69"/>
      <c r="R286" s="69"/>
      <c r="S286" s="69"/>
      <c r="T286" s="70"/>
      <c r="U286" s="70"/>
      <c r="V286" s="70"/>
      <c r="W286" s="68"/>
      <c r="X286" s="68"/>
      <c r="Y286" s="50"/>
      <c r="Z286" s="50"/>
      <c r="AA286" s="71"/>
      <c r="AB286" s="70"/>
      <c r="AC286" s="72"/>
      <c r="AD286" s="72"/>
      <c r="AE286" s="73"/>
      <c r="AF286" s="73"/>
      <c r="AG286" s="73"/>
      <c r="AH286" s="73"/>
      <c r="AI286" s="73"/>
      <c r="AJ286" s="73"/>
      <c r="AK286" s="73"/>
      <c r="AL286" s="73"/>
      <c r="AM286" s="73"/>
      <c r="AN286" s="73"/>
      <c r="AO286" s="73"/>
      <c r="AP286" s="73"/>
      <c r="AQ286" s="73"/>
      <c r="AR286" s="73"/>
      <c r="AS286" s="73"/>
      <c r="AT286" s="73"/>
      <c r="AU286" s="73"/>
      <c r="AV286" s="73"/>
      <c r="AW286" s="73"/>
      <c r="AX286" s="73"/>
      <c r="AY286" s="73"/>
      <c r="AZ286" s="73"/>
      <c r="BA286" s="73"/>
      <c r="BB286" s="73"/>
      <c r="BC286" s="73"/>
      <c r="BD286" s="73"/>
      <c r="BE286" s="73"/>
      <c r="BF286" s="73"/>
      <c r="BG286" s="73"/>
      <c r="BH286" s="73"/>
      <c r="BI286" s="73"/>
      <c r="BJ286" s="73"/>
      <c r="BK286" s="73"/>
      <c r="BL286" s="73"/>
      <c r="BM286" s="73"/>
      <c r="BN286" s="73"/>
      <c r="BO286" s="73"/>
      <c r="BP286" s="73"/>
      <c r="BQ286" s="73"/>
      <c r="BR286" s="73"/>
      <c r="BS286" s="73"/>
      <c r="BT286" s="73"/>
      <c r="BU286" s="73"/>
      <c r="BV286" s="73"/>
      <c r="BW286" s="73"/>
      <c r="BX286" s="73"/>
      <c r="BY286" s="73"/>
      <c r="BZ286" s="73"/>
      <c r="CA286" s="73"/>
      <c r="CB286" s="73"/>
      <c r="CC286" s="73"/>
      <c r="CD286" s="73"/>
      <c r="CE286" s="73"/>
      <c r="CF286" s="73"/>
      <c r="CG286" s="72"/>
      <c r="CH286" s="73"/>
      <c r="CI286" s="73"/>
      <c r="CJ286" s="73"/>
      <c r="CK286" s="72"/>
      <c r="CL286" s="72"/>
      <c r="CM286" s="72"/>
      <c r="CN286" s="72"/>
      <c r="CO286" s="72"/>
      <c r="CP286" s="72"/>
      <c r="CQ286" s="73"/>
      <c r="CR286" s="73"/>
      <c r="CS286" s="73"/>
      <c r="CT286" s="72"/>
      <c r="CU286" s="72"/>
      <c r="CV286" s="72"/>
      <c r="CW286" s="72"/>
      <c r="CX286" s="72"/>
      <c r="CY286" s="72"/>
      <c r="CZ286" s="72"/>
      <c r="DA286" s="72"/>
      <c r="DB286" s="72"/>
      <c r="DC286" s="72"/>
      <c r="DD286" s="72"/>
      <c r="DE286" s="72"/>
      <c r="DF286" s="72"/>
      <c r="DG286" s="72"/>
      <c r="DH286" s="72"/>
      <c r="DI286" s="72"/>
      <c r="DJ286" s="72"/>
      <c r="DK286" s="72"/>
      <c r="DL286" s="72"/>
      <c r="DM286" s="72"/>
      <c r="DN286" s="72"/>
      <c r="DO286" s="72"/>
      <c r="DP286" s="75"/>
      <c r="DQ286" s="76"/>
      <c r="DR286" s="77"/>
      <c r="DS286" s="72"/>
      <c r="DT286" s="73"/>
      <c r="DU286" s="72"/>
      <c r="DV286" s="73"/>
      <c r="DW286" s="73"/>
      <c r="DX286" s="73"/>
      <c r="DY286" s="73"/>
      <c r="DZ286" s="73"/>
      <c r="EA286" s="319"/>
    </row>
    <row r="287" spans="1:131" s="10" customFormat="1" hidden="1" x14ac:dyDescent="0.2">
      <c r="A287" s="68"/>
      <c r="B287" s="68"/>
      <c r="C287" s="68"/>
      <c r="D287" s="68"/>
      <c r="E287" s="69"/>
      <c r="F287" s="69"/>
      <c r="G287" s="69"/>
      <c r="H287" s="69"/>
      <c r="I287" s="68"/>
      <c r="J287" s="68"/>
      <c r="K287" s="69"/>
      <c r="L287" s="69"/>
      <c r="M287" s="69"/>
      <c r="N287" s="69"/>
      <c r="O287" s="69"/>
      <c r="P287" s="69"/>
      <c r="Q287" s="69"/>
      <c r="R287" s="69"/>
      <c r="S287" s="69"/>
      <c r="T287" s="70"/>
      <c r="U287" s="70"/>
      <c r="V287" s="70"/>
      <c r="W287" s="68"/>
      <c r="X287" s="68"/>
      <c r="Y287" s="50"/>
      <c r="Z287" s="50"/>
      <c r="AA287" s="71"/>
      <c r="AB287" s="70"/>
      <c r="AC287" s="72"/>
      <c r="AD287" s="72"/>
      <c r="AE287" s="73"/>
      <c r="AF287" s="73"/>
      <c r="AG287" s="73"/>
      <c r="AH287" s="73"/>
      <c r="AI287" s="73"/>
      <c r="AJ287" s="73"/>
      <c r="AK287" s="73">
        <v>86530409</v>
      </c>
      <c r="AL287" s="73"/>
      <c r="AM287" s="73"/>
      <c r="AN287" s="73"/>
      <c r="AO287" s="73"/>
      <c r="AP287" s="73"/>
      <c r="AQ287" s="73"/>
      <c r="AR287" s="73"/>
      <c r="AS287" s="73"/>
      <c r="AT287" s="73"/>
      <c r="AU287" s="73"/>
      <c r="AV287" s="73"/>
      <c r="AW287" s="73"/>
      <c r="AX287" s="73"/>
      <c r="AY287" s="73"/>
      <c r="AZ287" s="73"/>
      <c r="BA287" s="73"/>
      <c r="BB287" s="73"/>
      <c r="BC287" s="73"/>
      <c r="BD287" s="73"/>
      <c r="BE287" s="73"/>
      <c r="BF287" s="73"/>
      <c r="BG287" s="73"/>
      <c r="BH287" s="73"/>
      <c r="BI287" s="73"/>
      <c r="BJ287" s="73"/>
      <c r="BK287" s="73"/>
      <c r="BL287" s="73"/>
      <c r="BM287" s="73"/>
      <c r="BN287" s="73"/>
      <c r="BO287" s="73"/>
      <c r="BP287" s="73"/>
      <c r="BQ287" s="73"/>
      <c r="BR287" s="73"/>
      <c r="BS287" s="73"/>
      <c r="BT287" s="73"/>
      <c r="BU287" s="73"/>
      <c r="BV287" s="73"/>
      <c r="BW287" s="73"/>
      <c r="BX287" s="73"/>
      <c r="BY287" s="73"/>
      <c r="BZ287" s="73"/>
      <c r="CA287" s="73"/>
      <c r="CB287" s="73"/>
      <c r="CC287" s="73"/>
      <c r="CD287" s="73"/>
      <c r="CE287" s="73"/>
      <c r="CF287" s="73"/>
      <c r="CG287" s="72">
        <v>75960100</v>
      </c>
      <c r="CH287" s="73"/>
      <c r="CI287" s="73"/>
      <c r="CJ287" s="73"/>
      <c r="CK287" s="72"/>
      <c r="CL287" s="72"/>
      <c r="CM287" s="72"/>
      <c r="CN287" s="72"/>
      <c r="CO287" s="72"/>
      <c r="CP287" s="72"/>
      <c r="CQ287" s="73"/>
      <c r="CR287" s="73"/>
      <c r="CS287" s="73"/>
      <c r="CT287" s="72"/>
      <c r="CU287" s="72"/>
      <c r="CV287" s="72"/>
      <c r="CW287" s="72"/>
      <c r="CX287" s="72"/>
      <c r="CY287" s="72"/>
      <c r="CZ287" s="72"/>
      <c r="DA287" s="72"/>
      <c r="DB287" s="72"/>
      <c r="DC287" s="72"/>
      <c r="DD287" s="72"/>
      <c r="DE287" s="72"/>
      <c r="DF287" s="72"/>
      <c r="DG287" s="72"/>
      <c r="DH287" s="72"/>
      <c r="DI287" s="72"/>
      <c r="DJ287" s="72"/>
      <c r="DK287" s="72"/>
      <c r="DL287" s="72"/>
      <c r="DM287" s="72"/>
      <c r="DN287" s="72"/>
      <c r="DO287" s="72"/>
      <c r="DP287" s="75"/>
      <c r="DQ287" s="76"/>
      <c r="DR287" s="77"/>
      <c r="DS287" s="72"/>
      <c r="DT287" s="73"/>
      <c r="DU287" s="72"/>
      <c r="DV287" s="73"/>
      <c r="DW287" s="73"/>
      <c r="DX287" s="73"/>
      <c r="DY287" s="73"/>
      <c r="DZ287" s="73"/>
      <c r="EA287" s="319"/>
    </row>
    <row r="288" spans="1:131" s="10" customFormat="1" hidden="1" x14ac:dyDescent="0.2">
      <c r="A288" s="68"/>
      <c r="B288" s="68"/>
      <c r="C288" s="68"/>
      <c r="D288" s="68"/>
      <c r="E288" s="69"/>
      <c r="F288" s="69"/>
      <c r="G288" s="69"/>
      <c r="H288" s="69"/>
      <c r="I288" s="68"/>
      <c r="J288" s="68"/>
      <c r="K288" s="69"/>
      <c r="L288" s="69"/>
      <c r="M288" s="69"/>
      <c r="N288" s="69"/>
      <c r="O288" s="69"/>
      <c r="P288" s="69"/>
      <c r="Q288" s="69"/>
      <c r="R288" s="69"/>
      <c r="S288" s="69"/>
      <c r="T288" s="70"/>
      <c r="U288" s="70"/>
      <c r="V288" s="70"/>
      <c r="W288" s="68"/>
      <c r="X288" s="68"/>
      <c r="Y288" s="50"/>
      <c r="Z288" s="50"/>
      <c r="AA288" s="71"/>
      <c r="AB288" s="70"/>
      <c r="AC288" s="72"/>
      <c r="AD288" s="72"/>
      <c r="AE288" s="73"/>
      <c r="AF288" s="73"/>
      <c r="AG288" s="73"/>
      <c r="AH288" s="73"/>
      <c r="AI288" s="73"/>
      <c r="AJ288" s="73"/>
      <c r="AK288" s="73"/>
      <c r="AL288" s="73"/>
      <c r="AM288" s="73"/>
      <c r="AN288" s="73"/>
      <c r="AO288" s="73"/>
      <c r="AP288" s="73"/>
      <c r="AQ288" s="73"/>
      <c r="AR288" s="73"/>
      <c r="AS288" s="73"/>
      <c r="AT288" s="73"/>
      <c r="AU288" s="73"/>
      <c r="AV288" s="73"/>
      <c r="AW288" s="73"/>
      <c r="AX288" s="73"/>
      <c r="AY288" s="73"/>
      <c r="AZ288" s="73"/>
      <c r="BA288" s="73"/>
      <c r="BB288" s="73"/>
      <c r="BC288" s="73"/>
      <c r="BD288" s="73"/>
      <c r="BE288" s="73"/>
      <c r="BF288" s="73"/>
      <c r="BG288" s="73"/>
      <c r="BH288" s="73"/>
      <c r="BI288" s="73"/>
      <c r="BJ288" s="73"/>
      <c r="BK288" s="73"/>
      <c r="BL288" s="73"/>
      <c r="BM288" s="73"/>
      <c r="BN288" s="73"/>
      <c r="BO288" s="73"/>
      <c r="BP288" s="73"/>
      <c r="BQ288" s="73"/>
      <c r="BR288" s="73"/>
      <c r="BS288" s="73"/>
      <c r="BT288" s="73"/>
      <c r="BU288" s="73"/>
      <c r="BV288" s="73"/>
      <c r="BW288" s="73"/>
      <c r="BX288" s="73"/>
      <c r="BY288" s="73"/>
      <c r="BZ288" s="73"/>
      <c r="CA288" s="73"/>
      <c r="CB288" s="73"/>
      <c r="CC288" s="73"/>
      <c r="CD288" s="73"/>
      <c r="CE288" s="73"/>
      <c r="CF288" s="73"/>
      <c r="CG288" s="72"/>
      <c r="CH288" s="73"/>
      <c r="CI288" s="73"/>
      <c r="CJ288" s="73"/>
      <c r="CK288" s="72"/>
      <c r="CL288" s="72"/>
      <c r="CM288" s="72"/>
      <c r="CN288" s="72"/>
      <c r="CO288" s="72"/>
      <c r="CP288" s="72"/>
      <c r="CQ288" s="73"/>
      <c r="CR288" s="73"/>
      <c r="CS288" s="73"/>
      <c r="CT288" s="72"/>
      <c r="CU288" s="72"/>
      <c r="CV288" s="72"/>
      <c r="CW288" s="72"/>
      <c r="CX288" s="72"/>
      <c r="CY288" s="72"/>
      <c r="CZ288" s="72"/>
      <c r="DA288" s="72"/>
      <c r="DB288" s="72"/>
      <c r="DC288" s="72"/>
      <c r="DD288" s="72"/>
      <c r="DE288" s="72"/>
      <c r="DF288" s="72"/>
      <c r="DG288" s="72"/>
      <c r="DH288" s="72"/>
      <c r="DI288" s="72"/>
      <c r="DJ288" s="72"/>
      <c r="DK288" s="72"/>
      <c r="DL288" s="72"/>
      <c r="DM288" s="72"/>
      <c r="DN288" s="72"/>
      <c r="DO288" s="72"/>
      <c r="DP288" s="75"/>
      <c r="DQ288" s="76"/>
      <c r="DR288" s="77"/>
      <c r="DS288" s="72"/>
      <c r="DT288" s="73"/>
      <c r="DU288" s="72"/>
      <c r="DV288" s="73"/>
      <c r="DW288" s="73"/>
      <c r="DX288" s="73"/>
      <c r="DY288" s="73"/>
      <c r="DZ288" s="73"/>
      <c r="EA288" s="319"/>
    </row>
    <row r="289" spans="1:131" s="10" customFormat="1" hidden="1" x14ac:dyDescent="0.2">
      <c r="A289" s="68"/>
      <c r="B289" s="68"/>
      <c r="C289" s="68"/>
      <c r="D289" s="68"/>
      <c r="E289" s="69"/>
      <c r="F289" s="69"/>
      <c r="G289" s="69"/>
      <c r="H289" s="69"/>
      <c r="I289" s="68"/>
      <c r="J289" s="68"/>
      <c r="K289" s="69"/>
      <c r="L289" s="69"/>
      <c r="M289" s="69"/>
      <c r="N289" s="69"/>
      <c r="O289" s="69"/>
      <c r="P289" s="69"/>
      <c r="Q289" s="69"/>
      <c r="R289" s="69"/>
      <c r="S289" s="69"/>
      <c r="T289" s="70"/>
      <c r="U289" s="70"/>
      <c r="V289" s="70"/>
      <c r="W289" s="68"/>
      <c r="X289" s="68"/>
      <c r="Y289" s="50"/>
      <c r="Z289" s="50"/>
      <c r="AA289" s="71"/>
      <c r="AB289" s="70"/>
      <c r="AC289" s="72"/>
      <c r="AD289" s="72"/>
      <c r="AE289" s="73"/>
      <c r="AF289" s="73"/>
      <c r="AG289" s="73"/>
      <c r="AH289" s="73"/>
      <c r="AI289" s="73"/>
      <c r="AJ289" s="73"/>
      <c r="AK289" s="73">
        <f>+AK287-AK285</f>
        <v>0</v>
      </c>
      <c r="AL289" s="73"/>
      <c r="AM289" s="73"/>
      <c r="AN289" s="73"/>
      <c r="AO289" s="73"/>
      <c r="AP289" s="73"/>
      <c r="AQ289" s="73"/>
      <c r="AR289" s="73"/>
      <c r="AS289" s="73"/>
      <c r="AT289" s="73"/>
      <c r="AU289" s="73"/>
      <c r="AV289" s="73"/>
      <c r="AW289" s="73"/>
      <c r="AX289" s="73"/>
      <c r="AY289" s="73"/>
      <c r="AZ289" s="73"/>
      <c r="BA289" s="73"/>
      <c r="BB289" s="73"/>
      <c r="BC289" s="73"/>
      <c r="BD289" s="73"/>
      <c r="BE289" s="73"/>
      <c r="BF289" s="73"/>
      <c r="BG289" s="73"/>
      <c r="BH289" s="73"/>
      <c r="BI289" s="73"/>
      <c r="BJ289" s="73"/>
      <c r="BK289" s="73"/>
      <c r="BL289" s="73"/>
      <c r="BM289" s="73"/>
      <c r="BN289" s="73"/>
      <c r="BO289" s="73"/>
      <c r="BP289" s="73"/>
      <c r="BQ289" s="73"/>
      <c r="BR289" s="73"/>
      <c r="BS289" s="73"/>
      <c r="BT289" s="73"/>
      <c r="BU289" s="73"/>
      <c r="BV289" s="73"/>
      <c r="BW289" s="73"/>
      <c r="BX289" s="73"/>
      <c r="BY289" s="73"/>
      <c r="BZ289" s="73"/>
      <c r="CA289" s="73"/>
      <c r="CB289" s="73"/>
      <c r="CC289" s="73"/>
      <c r="CD289" s="73"/>
      <c r="CE289" s="73"/>
      <c r="CF289" s="73"/>
      <c r="CG289" s="73">
        <f>+CG287-CG285</f>
        <v>0</v>
      </c>
      <c r="CH289" s="73"/>
      <c r="CI289" s="73"/>
      <c r="CJ289" s="73"/>
      <c r="CK289" s="72"/>
      <c r="CL289" s="72"/>
      <c r="CM289" s="72"/>
      <c r="CN289" s="72"/>
      <c r="CO289" s="72"/>
      <c r="CP289" s="72"/>
      <c r="CQ289" s="73"/>
      <c r="CR289" s="73"/>
      <c r="CS289" s="73"/>
      <c r="CT289" s="72"/>
      <c r="CU289" s="72"/>
      <c r="CV289" s="72"/>
      <c r="CW289" s="72"/>
      <c r="CX289" s="72"/>
      <c r="CY289" s="72"/>
      <c r="CZ289" s="72"/>
      <c r="DA289" s="72"/>
      <c r="DB289" s="72"/>
      <c r="DC289" s="72"/>
      <c r="DD289" s="72"/>
      <c r="DE289" s="72"/>
      <c r="DF289" s="72"/>
      <c r="DG289" s="72"/>
      <c r="DH289" s="72"/>
      <c r="DI289" s="72"/>
      <c r="DJ289" s="72"/>
      <c r="DK289" s="72"/>
      <c r="DL289" s="72"/>
      <c r="DM289" s="72"/>
      <c r="DN289" s="72"/>
      <c r="DO289" s="72"/>
      <c r="DP289" s="75"/>
      <c r="DQ289" s="76"/>
      <c r="DR289" s="77"/>
      <c r="DS289" s="72"/>
      <c r="DT289" s="73"/>
      <c r="DU289" s="72"/>
      <c r="DV289" s="73"/>
      <c r="DW289" s="73"/>
      <c r="DX289" s="73"/>
      <c r="DY289" s="73"/>
      <c r="DZ289" s="73"/>
      <c r="EA289" s="319"/>
    </row>
    <row r="290" spans="1:131" s="10" customFormat="1" hidden="1" x14ac:dyDescent="0.2">
      <c r="A290" s="68"/>
      <c r="B290" s="68"/>
      <c r="C290" s="68"/>
      <c r="D290" s="68"/>
      <c r="E290" s="69"/>
      <c r="F290" s="69"/>
      <c r="G290" s="69"/>
      <c r="H290" s="69"/>
      <c r="I290" s="68"/>
      <c r="J290" s="68"/>
      <c r="K290" s="69"/>
      <c r="L290" s="69"/>
      <c r="M290" s="69"/>
      <c r="N290" s="69"/>
      <c r="O290" s="69"/>
      <c r="P290" s="69"/>
      <c r="Q290" s="69"/>
      <c r="R290" s="69"/>
      <c r="S290" s="69"/>
      <c r="T290" s="70"/>
      <c r="U290" s="70"/>
      <c r="V290" s="70"/>
      <c r="W290" s="68"/>
      <c r="X290" s="68"/>
      <c r="Y290" s="50"/>
      <c r="Z290" s="50"/>
      <c r="AA290" s="71"/>
      <c r="AB290" s="70"/>
      <c r="AC290" s="72"/>
      <c r="AD290" s="72"/>
      <c r="AE290" s="73"/>
      <c r="AF290" s="73"/>
      <c r="AG290" s="73"/>
      <c r="AH290" s="73"/>
      <c r="AI290" s="73"/>
      <c r="AJ290" s="73"/>
      <c r="AK290" s="73"/>
      <c r="AL290" s="73"/>
      <c r="AM290" s="73">
        <v>507185871</v>
      </c>
      <c r="AN290" s="73"/>
      <c r="AO290" s="73"/>
      <c r="AP290" s="73"/>
      <c r="AQ290" s="73"/>
      <c r="AR290" s="73"/>
      <c r="AS290" s="73"/>
      <c r="AT290" s="73">
        <v>549298835</v>
      </c>
      <c r="AU290" s="73"/>
      <c r="AV290" s="73"/>
      <c r="AW290" s="73"/>
      <c r="AX290" s="73"/>
      <c r="AY290" s="73"/>
      <c r="AZ290" s="73"/>
      <c r="BA290" s="73"/>
      <c r="BB290" s="73"/>
      <c r="BC290" s="73"/>
      <c r="BD290" s="73"/>
      <c r="BE290" s="73"/>
      <c r="BF290" s="73"/>
      <c r="BG290" s="73"/>
      <c r="BH290" s="73"/>
      <c r="BI290" s="73"/>
      <c r="BJ290" s="73"/>
      <c r="BK290" s="73"/>
      <c r="BL290" s="73"/>
      <c r="BM290" s="73"/>
      <c r="BN290" s="73"/>
      <c r="BO290" s="73"/>
      <c r="BP290" s="73"/>
      <c r="BQ290" s="73"/>
      <c r="BR290" s="73"/>
      <c r="BS290" s="73"/>
      <c r="BT290" s="73"/>
      <c r="BU290" s="73"/>
      <c r="BV290" s="73"/>
      <c r="BW290" s="73"/>
      <c r="BX290" s="73"/>
      <c r="BY290" s="73"/>
      <c r="BZ290" s="73"/>
      <c r="CA290" s="73"/>
      <c r="CB290" s="73"/>
      <c r="CC290" s="73"/>
      <c r="CD290" s="73"/>
      <c r="CE290" s="73"/>
      <c r="CF290" s="73"/>
      <c r="CG290" s="72"/>
      <c r="CH290" s="73"/>
      <c r="CI290" s="73"/>
      <c r="CJ290" s="73"/>
      <c r="CK290" s="72"/>
      <c r="CL290" s="72"/>
      <c r="CM290" s="72"/>
      <c r="CN290" s="72"/>
      <c r="CO290" s="72"/>
      <c r="CP290" s="72"/>
      <c r="CQ290" s="73"/>
      <c r="CR290" s="73"/>
      <c r="CS290" s="73"/>
      <c r="CT290" s="72"/>
      <c r="CU290" s="72"/>
      <c r="CV290" s="72"/>
      <c r="CW290" s="72"/>
      <c r="CX290" s="72"/>
      <c r="CY290" s="72"/>
      <c r="CZ290" s="72"/>
      <c r="DA290" s="72"/>
      <c r="DB290" s="72"/>
      <c r="DC290" s="72"/>
      <c r="DD290" s="72"/>
      <c r="DE290" s="72"/>
      <c r="DF290" s="72"/>
      <c r="DG290" s="72"/>
      <c r="DH290" s="72"/>
      <c r="DI290" s="72"/>
      <c r="DJ290" s="72"/>
      <c r="DK290" s="72"/>
      <c r="DL290" s="72"/>
      <c r="DM290" s="72"/>
      <c r="DN290" s="72"/>
      <c r="DO290" s="72"/>
      <c r="DP290" s="75"/>
      <c r="DQ290" s="76"/>
      <c r="DR290" s="77"/>
      <c r="DS290" s="72"/>
      <c r="DT290" s="73"/>
      <c r="DU290" s="72"/>
      <c r="DV290" s="73"/>
      <c r="DW290" s="73"/>
      <c r="DX290" s="73"/>
      <c r="DY290" s="73"/>
      <c r="DZ290" s="73"/>
      <c r="EA290" s="319"/>
    </row>
    <row r="291" spans="1:131" s="10" customFormat="1" hidden="1" x14ac:dyDescent="0.2">
      <c r="A291" s="68"/>
      <c r="B291" s="68"/>
      <c r="C291" s="68"/>
      <c r="D291" s="68"/>
      <c r="E291" s="69"/>
      <c r="F291" s="69"/>
      <c r="G291" s="69"/>
      <c r="H291" s="69"/>
      <c r="I291" s="68"/>
      <c r="J291" s="68"/>
      <c r="K291" s="69"/>
      <c r="L291" s="69"/>
      <c r="M291" s="69"/>
      <c r="N291" s="69"/>
      <c r="O291" s="69"/>
      <c r="P291" s="69"/>
      <c r="Q291" s="69"/>
      <c r="R291" s="69"/>
      <c r="S291" s="69"/>
      <c r="T291" s="70"/>
      <c r="U291" s="70"/>
      <c r="V291" s="70"/>
      <c r="W291" s="68"/>
      <c r="X291" s="68"/>
      <c r="Y291" s="50"/>
      <c r="Z291" s="50"/>
      <c r="AA291" s="71"/>
      <c r="AB291" s="70"/>
      <c r="AC291" s="72"/>
      <c r="AD291" s="72"/>
      <c r="AE291" s="73"/>
      <c r="AF291" s="73"/>
      <c r="AG291" s="73"/>
      <c r="AH291" s="73"/>
      <c r="AI291" s="73"/>
      <c r="AJ291" s="73"/>
      <c r="AK291" s="73"/>
      <c r="AL291" s="73"/>
      <c r="AM291" s="73">
        <v>507135271</v>
      </c>
      <c r="AN291" s="73"/>
      <c r="AO291" s="73"/>
      <c r="AP291" s="73"/>
      <c r="AQ291" s="73"/>
      <c r="AR291" s="73"/>
      <c r="AS291" s="73"/>
      <c r="AT291" s="73">
        <f>549349435</f>
        <v>549349435</v>
      </c>
      <c r="AU291" s="73"/>
      <c r="AV291" s="73"/>
      <c r="AW291" s="73"/>
      <c r="AX291" s="73"/>
      <c r="AY291" s="73"/>
      <c r="AZ291" s="73"/>
      <c r="BA291" s="73"/>
      <c r="BB291" s="73"/>
      <c r="BC291" s="73"/>
      <c r="BD291" s="73"/>
      <c r="BE291" s="73"/>
      <c r="BF291" s="73"/>
      <c r="BG291" s="73"/>
      <c r="BH291" s="73"/>
      <c r="BI291" s="73"/>
      <c r="BJ291" s="73"/>
      <c r="BK291" s="73"/>
      <c r="BL291" s="73"/>
      <c r="BM291" s="73"/>
      <c r="BN291" s="73"/>
      <c r="BO291" s="73"/>
      <c r="BP291" s="73"/>
      <c r="BQ291" s="73"/>
      <c r="BR291" s="73"/>
      <c r="BS291" s="73"/>
      <c r="BT291" s="73"/>
      <c r="BU291" s="73"/>
      <c r="BV291" s="73"/>
      <c r="BW291" s="73"/>
      <c r="BX291" s="73"/>
      <c r="BY291" s="73"/>
      <c r="BZ291" s="73"/>
      <c r="CA291" s="73"/>
      <c r="CB291" s="73"/>
      <c r="CC291" s="73"/>
      <c r="CD291" s="73"/>
      <c r="CE291" s="73"/>
      <c r="CF291" s="73"/>
      <c r="CG291" s="72"/>
      <c r="CH291" s="73"/>
      <c r="CI291" s="73"/>
      <c r="CJ291" s="73"/>
      <c r="CK291" s="72"/>
      <c r="CL291" s="72"/>
      <c r="CM291" s="72"/>
      <c r="CN291" s="72"/>
      <c r="CO291" s="72"/>
      <c r="CP291" s="72"/>
      <c r="CQ291" s="73"/>
      <c r="CR291" s="73"/>
      <c r="CS291" s="73"/>
      <c r="CT291" s="72"/>
      <c r="CU291" s="72"/>
      <c r="CV291" s="72"/>
      <c r="CW291" s="72"/>
      <c r="CX291" s="72"/>
      <c r="CY291" s="72"/>
      <c r="CZ291" s="72"/>
      <c r="DA291" s="72"/>
      <c r="DB291" s="72"/>
      <c r="DC291" s="72"/>
      <c r="DD291" s="72"/>
      <c r="DE291" s="72"/>
      <c r="DF291" s="72"/>
      <c r="DG291" s="72"/>
      <c r="DH291" s="72"/>
      <c r="DI291" s="72"/>
      <c r="DJ291" s="72"/>
      <c r="DK291" s="72"/>
      <c r="DL291" s="72"/>
      <c r="DM291" s="72"/>
      <c r="DN291" s="72"/>
      <c r="DO291" s="72"/>
      <c r="DP291" s="75"/>
      <c r="DQ291" s="76"/>
      <c r="DR291" s="77"/>
      <c r="DS291" s="72"/>
      <c r="DT291" s="73"/>
      <c r="DU291" s="72"/>
      <c r="DV291" s="73"/>
      <c r="DW291" s="73"/>
      <c r="DX291" s="73"/>
      <c r="DY291" s="73"/>
      <c r="DZ291" s="73"/>
      <c r="EA291" s="319"/>
    </row>
    <row r="292" spans="1:131" s="10" customFormat="1" hidden="1" x14ac:dyDescent="0.2">
      <c r="A292" s="68"/>
      <c r="B292" s="68"/>
      <c r="C292" s="68"/>
      <c r="D292" s="68"/>
      <c r="E292" s="69"/>
      <c r="F292" s="69"/>
      <c r="G292" s="69"/>
      <c r="H292" s="69"/>
      <c r="I292" s="68"/>
      <c r="J292" s="68"/>
      <c r="K292" s="69"/>
      <c r="L292" s="69"/>
      <c r="M292" s="69"/>
      <c r="N292" s="69"/>
      <c r="O292" s="69"/>
      <c r="P292" s="69"/>
      <c r="Q292" s="69"/>
      <c r="R292" s="69"/>
      <c r="S292" s="69"/>
      <c r="T292" s="70"/>
      <c r="U292" s="70"/>
      <c r="V292" s="70"/>
      <c r="W292" s="68"/>
      <c r="X292" s="68"/>
      <c r="Y292" s="50"/>
      <c r="Z292" s="50"/>
      <c r="AA292" s="71"/>
      <c r="AB292" s="70"/>
      <c r="AC292" s="72"/>
      <c r="AD292" s="72"/>
      <c r="AE292" s="73"/>
      <c r="AF292" s="73"/>
      <c r="AG292" s="73"/>
      <c r="AH292" s="73"/>
      <c r="AI292" s="73"/>
      <c r="AJ292" s="73"/>
      <c r="AK292" s="73"/>
      <c r="AL292" s="73"/>
      <c r="AM292" s="73">
        <f>AM290-AM291</f>
        <v>50600</v>
      </c>
      <c r="AN292" s="73"/>
      <c r="AO292" s="73"/>
      <c r="AP292" s="73"/>
      <c r="AQ292" s="73"/>
      <c r="AR292" s="73"/>
      <c r="AS292" s="73"/>
      <c r="AT292" s="73">
        <f>AT290-AT291</f>
        <v>-50600</v>
      </c>
      <c r="AU292" s="73"/>
      <c r="AV292" s="73"/>
      <c r="AW292" s="73"/>
      <c r="AX292" s="73"/>
      <c r="AY292" s="73"/>
      <c r="AZ292" s="73"/>
      <c r="BA292" s="73"/>
      <c r="BB292" s="73"/>
      <c r="BC292" s="73"/>
      <c r="BD292" s="73"/>
      <c r="BE292" s="73"/>
      <c r="BF292" s="73"/>
      <c r="BG292" s="73"/>
      <c r="BH292" s="73"/>
      <c r="BI292" s="73"/>
      <c r="BJ292" s="73"/>
      <c r="BK292" s="73"/>
      <c r="BL292" s="73"/>
      <c r="BM292" s="73"/>
      <c r="BN292" s="73"/>
      <c r="BO292" s="73"/>
      <c r="BP292" s="73"/>
      <c r="BQ292" s="73"/>
      <c r="BR292" s="73"/>
      <c r="BS292" s="73"/>
      <c r="BT292" s="73"/>
      <c r="BU292" s="73"/>
      <c r="BV292" s="73"/>
      <c r="BW292" s="73"/>
      <c r="BX292" s="73"/>
      <c r="BY292" s="73"/>
      <c r="BZ292" s="73"/>
      <c r="CA292" s="73"/>
      <c r="CB292" s="73"/>
      <c r="CC292" s="73"/>
      <c r="CD292" s="73"/>
      <c r="CE292" s="73"/>
      <c r="CF292" s="73"/>
      <c r="CG292" s="72"/>
      <c r="CH292" s="73"/>
      <c r="CI292" s="73"/>
      <c r="CJ292" s="73"/>
      <c r="CK292" s="72"/>
      <c r="CL292" s="72"/>
      <c r="CM292" s="72"/>
      <c r="CN292" s="72"/>
      <c r="CO292" s="72"/>
      <c r="CP292" s="72"/>
      <c r="CQ292" s="73"/>
      <c r="CR292" s="73"/>
      <c r="CS292" s="73"/>
      <c r="CT292" s="72"/>
      <c r="CU292" s="72"/>
      <c r="CV292" s="72"/>
      <c r="CW292" s="72"/>
      <c r="CX292" s="72"/>
      <c r="CY292" s="72"/>
      <c r="CZ292" s="72"/>
      <c r="DA292" s="72"/>
      <c r="DB292" s="72"/>
      <c r="DC292" s="72"/>
      <c r="DD292" s="72"/>
      <c r="DE292" s="72"/>
      <c r="DF292" s="72"/>
      <c r="DG292" s="72"/>
      <c r="DH292" s="72"/>
      <c r="DI292" s="72"/>
      <c r="DJ292" s="72"/>
      <c r="DK292" s="72"/>
      <c r="DL292" s="72"/>
      <c r="DM292" s="72"/>
      <c r="DN292" s="72"/>
      <c r="DO292" s="72"/>
      <c r="DP292" s="75"/>
      <c r="DQ292" s="76"/>
      <c r="DR292" s="77"/>
      <c r="DS292" s="72"/>
      <c r="DT292" s="73"/>
      <c r="DU292" s="72"/>
      <c r="DV292" s="73"/>
      <c r="DW292" s="73"/>
      <c r="DX292" s="73"/>
      <c r="DY292" s="73"/>
      <c r="DZ292" s="73"/>
      <c r="EA292" s="319"/>
    </row>
    <row r="293" spans="1:131" s="10" customFormat="1" hidden="1" x14ac:dyDescent="0.2">
      <c r="A293" s="68"/>
      <c r="B293" s="68"/>
      <c r="C293" s="68"/>
      <c r="D293" s="68"/>
      <c r="E293" s="69"/>
      <c r="F293" s="69"/>
      <c r="G293" s="69"/>
      <c r="H293" s="69"/>
      <c r="I293" s="68"/>
      <c r="J293" s="68"/>
      <c r="K293" s="69"/>
      <c r="L293" s="69"/>
      <c r="M293" s="69"/>
      <c r="N293" s="69"/>
      <c r="O293" s="69"/>
      <c r="P293" s="69"/>
      <c r="Q293" s="69"/>
      <c r="R293" s="69"/>
      <c r="S293" s="69"/>
      <c r="T293" s="70"/>
      <c r="U293" s="70"/>
      <c r="V293" s="70"/>
      <c r="W293" s="68"/>
      <c r="X293" s="68"/>
      <c r="Y293" s="50"/>
      <c r="Z293" s="50"/>
      <c r="AA293" s="71"/>
      <c r="AB293" s="70"/>
      <c r="AC293" s="72"/>
      <c r="AD293" s="72"/>
      <c r="AE293" s="73"/>
      <c r="AF293" s="73"/>
      <c r="AG293" s="73"/>
      <c r="AH293" s="73"/>
      <c r="AI293" s="73"/>
      <c r="AJ293" s="73"/>
      <c r="AK293" s="73"/>
      <c r="AL293" s="73"/>
      <c r="AM293" s="73"/>
      <c r="AN293" s="73"/>
      <c r="AO293" s="73"/>
      <c r="AP293" s="73"/>
      <c r="AQ293" s="73"/>
      <c r="AR293" s="73"/>
      <c r="AS293" s="73"/>
      <c r="AT293" s="73"/>
      <c r="AU293" s="73"/>
      <c r="AV293" s="73"/>
      <c r="AW293" s="73"/>
      <c r="AX293" s="73"/>
      <c r="AY293" s="73"/>
      <c r="AZ293" s="73"/>
      <c r="BA293" s="73"/>
      <c r="BB293" s="73"/>
      <c r="BC293" s="73"/>
      <c r="BD293" s="73"/>
      <c r="BE293" s="73"/>
      <c r="BF293" s="73"/>
      <c r="BG293" s="73"/>
      <c r="BH293" s="73"/>
      <c r="BI293" s="73"/>
      <c r="BJ293" s="73"/>
      <c r="BK293" s="73"/>
      <c r="BL293" s="73"/>
      <c r="BM293" s="73"/>
      <c r="BN293" s="73"/>
      <c r="BO293" s="73"/>
      <c r="BP293" s="73"/>
      <c r="BQ293" s="73"/>
      <c r="BR293" s="73"/>
      <c r="BS293" s="73"/>
      <c r="BT293" s="73"/>
      <c r="BU293" s="73"/>
      <c r="BV293" s="73"/>
      <c r="BW293" s="73"/>
      <c r="BX293" s="73"/>
      <c r="BY293" s="73"/>
      <c r="BZ293" s="73"/>
      <c r="CA293" s="73"/>
      <c r="CB293" s="73"/>
      <c r="CC293" s="73"/>
      <c r="CD293" s="73"/>
      <c r="CE293" s="73"/>
      <c r="CF293" s="73"/>
      <c r="CG293" s="72"/>
      <c r="CH293" s="73"/>
      <c r="CI293" s="73"/>
      <c r="CJ293" s="73"/>
      <c r="CK293" s="72"/>
      <c r="CL293" s="72"/>
      <c r="CM293" s="72"/>
      <c r="CN293" s="72"/>
      <c r="CO293" s="72"/>
      <c r="CP293" s="72"/>
      <c r="CQ293" s="73"/>
      <c r="CR293" s="73"/>
      <c r="CS293" s="73"/>
      <c r="CT293" s="72"/>
      <c r="CU293" s="72"/>
      <c r="CV293" s="72"/>
      <c r="CW293" s="72"/>
      <c r="CX293" s="72"/>
      <c r="CY293" s="72"/>
      <c r="CZ293" s="72"/>
      <c r="DA293" s="72"/>
      <c r="DB293" s="72"/>
      <c r="DC293" s="72"/>
      <c r="DD293" s="72"/>
      <c r="DE293" s="72"/>
      <c r="DF293" s="72"/>
      <c r="DG293" s="72"/>
      <c r="DH293" s="72"/>
      <c r="DI293" s="72"/>
      <c r="DJ293" s="72"/>
      <c r="DK293" s="72"/>
      <c r="DL293" s="72"/>
      <c r="DM293" s="72"/>
      <c r="DN293" s="72"/>
      <c r="DO293" s="72"/>
      <c r="DP293" s="75"/>
      <c r="DQ293" s="76"/>
      <c r="DR293" s="77"/>
      <c r="DS293" s="72"/>
      <c r="DT293" s="73"/>
      <c r="DU293" s="72"/>
      <c r="DV293" s="73"/>
      <c r="DW293" s="73"/>
      <c r="DX293" s="73"/>
      <c r="DY293" s="73"/>
      <c r="DZ293" s="73"/>
      <c r="EA293" s="319"/>
    </row>
    <row r="294" spans="1:131" s="10" customFormat="1" hidden="1" x14ac:dyDescent="0.2">
      <c r="A294" s="68"/>
      <c r="B294" s="68"/>
      <c r="C294" s="68"/>
      <c r="D294" s="68"/>
      <c r="E294" s="69"/>
      <c r="F294" s="69"/>
      <c r="G294" s="69"/>
      <c r="H294" s="69"/>
      <c r="I294" s="68"/>
      <c r="J294" s="68"/>
      <c r="K294" s="69"/>
      <c r="L294" s="69"/>
      <c r="M294" s="69"/>
      <c r="N294" s="69"/>
      <c r="O294" s="69"/>
      <c r="P294" s="69"/>
      <c r="Q294" s="69"/>
      <c r="R294" s="69"/>
      <c r="S294" s="69"/>
      <c r="T294" s="70"/>
      <c r="U294" s="70"/>
      <c r="V294" s="70"/>
      <c r="W294" s="68"/>
      <c r="X294" s="68"/>
      <c r="Y294" s="50"/>
      <c r="Z294" s="50"/>
      <c r="AA294" s="71"/>
      <c r="AB294" s="70"/>
      <c r="AC294" s="72"/>
      <c r="AD294" s="72"/>
      <c r="AE294" s="73"/>
      <c r="AF294" s="73"/>
      <c r="AG294" s="73"/>
      <c r="AH294" s="73"/>
      <c r="AI294" s="73"/>
      <c r="AJ294" s="73"/>
      <c r="AK294" s="73"/>
      <c r="AL294" s="73"/>
      <c r="AM294" s="73"/>
      <c r="AN294" s="73"/>
      <c r="AO294" s="73"/>
      <c r="AP294" s="73"/>
      <c r="AQ294" s="73"/>
      <c r="AR294" s="73"/>
      <c r="AS294" s="73"/>
      <c r="AT294" s="73"/>
      <c r="AU294" s="73"/>
      <c r="AV294" s="73"/>
      <c r="AW294" s="73"/>
      <c r="AX294" s="73"/>
      <c r="AY294" s="73"/>
      <c r="AZ294" s="73"/>
      <c r="BA294" s="73"/>
      <c r="BB294" s="73"/>
      <c r="BC294" s="73"/>
      <c r="BD294" s="73"/>
      <c r="BE294" s="73"/>
      <c r="BF294" s="73"/>
      <c r="BG294" s="73"/>
      <c r="BH294" s="73"/>
      <c r="BI294" s="73"/>
      <c r="BJ294" s="73"/>
      <c r="BK294" s="73"/>
      <c r="BL294" s="73"/>
      <c r="BM294" s="73"/>
      <c r="BN294" s="73"/>
      <c r="BO294" s="73"/>
      <c r="BP294" s="73"/>
      <c r="BQ294" s="73"/>
      <c r="BR294" s="73"/>
      <c r="BS294" s="73"/>
      <c r="BT294" s="73"/>
      <c r="BU294" s="73"/>
      <c r="BV294" s="73"/>
      <c r="BW294" s="73"/>
      <c r="BX294" s="73"/>
      <c r="BY294" s="73"/>
      <c r="BZ294" s="73"/>
      <c r="CA294" s="73"/>
      <c r="CB294" s="73"/>
      <c r="CC294" s="73"/>
      <c r="CD294" s="73"/>
      <c r="CE294" s="73"/>
      <c r="CF294" s="73"/>
      <c r="CG294" s="72"/>
      <c r="CH294" s="73"/>
      <c r="CI294" s="73"/>
      <c r="CJ294" s="73"/>
      <c r="CK294" s="72"/>
      <c r="CL294" s="72"/>
      <c r="CM294" s="72"/>
      <c r="CN294" s="72"/>
      <c r="CO294" s="72"/>
      <c r="CP294" s="72"/>
      <c r="CQ294" s="73"/>
      <c r="CR294" s="73"/>
      <c r="CS294" s="73"/>
      <c r="CT294" s="72"/>
      <c r="CU294" s="72"/>
      <c r="CV294" s="72"/>
      <c r="CW294" s="72"/>
      <c r="CX294" s="72"/>
      <c r="CY294" s="72"/>
      <c r="CZ294" s="72"/>
      <c r="DA294" s="72"/>
      <c r="DB294" s="72"/>
      <c r="DC294" s="72"/>
      <c r="DD294" s="72"/>
      <c r="DE294" s="72"/>
      <c r="DF294" s="72"/>
      <c r="DG294" s="72"/>
      <c r="DH294" s="72"/>
      <c r="DI294" s="72"/>
      <c r="DJ294" s="72"/>
      <c r="DK294" s="72"/>
      <c r="DL294" s="72"/>
      <c r="DM294" s="72"/>
      <c r="DN294" s="72"/>
      <c r="DO294" s="72"/>
      <c r="DP294" s="75"/>
      <c r="DQ294" s="76"/>
      <c r="DR294" s="77"/>
      <c r="DS294" s="72"/>
      <c r="DT294" s="73"/>
      <c r="DU294" s="72"/>
      <c r="DV294" s="73"/>
      <c r="DW294" s="73"/>
      <c r="DX294" s="73"/>
      <c r="DY294" s="73"/>
      <c r="DZ294" s="73"/>
      <c r="EA294" s="319"/>
    </row>
    <row r="295" spans="1:131" s="10" customFormat="1" hidden="1" x14ac:dyDescent="0.2">
      <c r="A295" s="68"/>
      <c r="B295" s="68"/>
      <c r="C295" s="68"/>
      <c r="D295" s="68"/>
      <c r="E295" s="69"/>
      <c r="F295" s="69"/>
      <c r="G295" s="69"/>
      <c r="H295" s="69"/>
      <c r="I295" s="68"/>
      <c r="J295" s="68"/>
      <c r="K295" s="69"/>
      <c r="L295" s="69"/>
      <c r="M295" s="69"/>
      <c r="N295" s="69"/>
      <c r="O295" s="69"/>
      <c r="P295" s="69"/>
      <c r="Q295" s="69"/>
      <c r="R295" s="69"/>
      <c r="S295" s="69"/>
      <c r="T295" s="70"/>
      <c r="U295" s="70"/>
      <c r="V295" s="70"/>
      <c r="W295" s="68"/>
      <c r="X295" s="68"/>
      <c r="Y295" s="50"/>
      <c r="Z295" s="50"/>
      <c r="AA295" s="71"/>
      <c r="AB295" s="70"/>
      <c r="AC295" s="72"/>
      <c r="AD295" s="72"/>
      <c r="AE295" s="73"/>
      <c r="AF295" s="73"/>
      <c r="AG295" s="73"/>
      <c r="AH295" s="73"/>
      <c r="AI295" s="73"/>
      <c r="AJ295" s="73"/>
      <c r="AK295" s="73"/>
      <c r="AL295" s="73"/>
      <c r="AM295" s="73"/>
      <c r="AN295" s="73"/>
      <c r="AO295" s="73"/>
      <c r="AP295" s="73"/>
      <c r="AQ295" s="73"/>
      <c r="AR295" s="73"/>
      <c r="AS295" s="73"/>
      <c r="AT295" s="73"/>
      <c r="AU295" s="73"/>
      <c r="AV295" s="73"/>
      <c r="AW295" s="73"/>
      <c r="AX295" s="73"/>
      <c r="AY295" s="73"/>
      <c r="AZ295" s="73"/>
      <c r="BA295" s="73"/>
      <c r="BB295" s="73"/>
      <c r="BC295" s="73"/>
      <c r="BD295" s="73"/>
      <c r="BE295" s="73"/>
      <c r="BF295" s="73"/>
      <c r="BG295" s="73"/>
      <c r="BH295" s="73"/>
      <c r="BI295" s="73"/>
      <c r="BJ295" s="73"/>
      <c r="BK295" s="73"/>
      <c r="BL295" s="73"/>
      <c r="BM295" s="73"/>
      <c r="BN295" s="73"/>
      <c r="BO295" s="73"/>
      <c r="BP295" s="73"/>
      <c r="BQ295" s="73"/>
      <c r="BR295" s="73"/>
      <c r="BS295" s="73"/>
      <c r="BT295" s="73"/>
      <c r="BU295" s="73"/>
      <c r="BV295" s="73"/>
      <c r="BW295" s="73"/>
      <c r="BX295" s="73"/>
      <c r="BY295" s="73"/>
      <c r="BZ295" s="73"/>
      <c r="CA295" s="73"/>
      <c r="CB295" s="73"/>
      <c r="CC295" s="73"/>
      <c r="CD295" s="73"/>
      <c r="CE295" s="73"/>
      <c r="CF295" s="73"/>
      <c r="CG295" s="72"/>
      <c r="CH295" s="73"/>
      <c r="CI295" s="73"/>
      <c r="CJ295" s="73"/>
      <c r="CK295" s="72"/>
      <c r="CL295" s="72"/>
      <c r="CM295" s="72"/>
      <c r="CN295" s="72"/>
      <c r="CO295" s="72"/>
      <c r="CP295" s="72"/>
      <c r="CQ295" s="73"/>
      <c r="CR295" s="73"/>
      <c r="CS295" s="73"/>
      <c r="CT295" s="72"/>
      <c r="CU295" s="72"/>
      <c r="CV295" s="72"/>
      <c r="CW295" s="72"/>
      <c r="CX295" s="72"/>
      <c r="CY295" s="72"/>
      <c r="CZ295" s="72"/>
      <c r="DA295" s="72"/>
      <c r="DB295" s="72"/>
      <c r="DC295" s="72"/>
      <c r="DD295" s="72"/>
      <c r="DE295" s="72"/>
      <c r="DF295" s="72"/>
      <c r="DG295" s="72"/>
      <c r="DH295" s="72"/>
      <c r="DI295" s="72"/>
      <c r="DJ295" s="72"/>
      <c r="DK295" s="72"/>
      <c r="DL295" s="72"/>
      <c r="DM295" s="72"/>
      <c r="DN295" s="72"/>
      <c r="DO295" s="72"/>
      <c r="DP295" s="75"/>
      <c r="DQ295" s="76"/>
      <c r="DR295" s="77"/>
      <c r="DS295" s="72"/>
      <c r="DT295" s="73"/>
      <c r="DU295" s="72"/>
      <c r="DV295" s="73"/>
      <c r="DW295" s="73"/>
      <c r="DX295" s="73"/>
      <c r="DY295" s="73"/>
      <c r="DZ295" s="73"/>
      <c r="EA295" s="319"/>
    </row>
    <row r="296" spans="1:131" s="10" customFormat="1" hidden="1" x14ac:dyDescent="0.2">
      <c r="A296" s="68"/>
      <c r="B296" s="68"/>
      <c r="C296" s="68"/>
      <c r="D296" s="68"/>
      <c r="E296" s="69"/>
      <c r="F296" s="69"/>
      <c r="G296" s="69"/>
      <c r="H296" s="69"/>
      <c r="I296" s="68"/>
      <c r="J296" s="68"/>
      <c r="K296" s="69"/>
      <c r="L296" s="69"/>
      <c r="M296" s="69"/>
      <c r="N296" s="69"/>
      <c r="O296" s="69"/>
      <c r="P296" s="69"/>
      <c r="Q296" s="69"/>
      <c r="R296" s="69"/>
      <c r="S296" s="69"/>
      <c r="T296" s="70"/>
      <c r="U296" s="70"/>
      <c r="V296" s="70"/>
      <c r="W296" s="68"/>
      <c r="X296" s="68"/>
      <c r="Y296" s="50"/>
      <c r="Z296" s="50"/>
      <c r="AA296" s="71"/>
      <c r="AB296" s="70"/>
      <c r="AC296" s="72"/>
      <c r="AD296" s="72"/>
      <c r="AE296" s="73"/>
      <c r="AF296" s="73"/>
      <c r="AG296" s="73"/>
      <c r="AH296" s="73"/>
      <c r="AI296" s="73"/>
      <c r="AJ296" s="73"/>
      <c r="AK296" s="73"/>
      <c r="AL296" s="73"/>
      <c r="AM296" s="73"/>
      <c r="AN296" s="73"/>
      <c r="AO296" s="73"/>
      <c r="AP296" s="73"/>
      <c r="AQ296" s="73"/>
      <c r="AR296" s="73"/>
      <c r="AS296" s="73"/>
      <c r="AT296" s="73"/>
      <c r="AU296" s="73"/>
      <c r="AV296" s="73"/>
      <c r="AW296" s="73"/>
      <c r="AX296" s="73"/>
      <c r="AY296" s="73"/>
      <c r="AZ296" s="73"/>
      <c r="BA296" s="73"/>
      <c r="BB296" s="73"/>
      <c r="BC296" s="73"/>
      <c r="BD296" s="73"/>
      <c r="BE296" s="73"/>
      <c r="BF296" s="73"/>
      <c r="BG296" s="73"/>
      <c r="BH296" s="73"/>
      <c r="BI296" s="73"/>
      <c r="BJ296" s="73"/>
      <c r="BK296" s="73"/>
      <c r="BL296" s="73"/>
      <c r="BM296" s="73"/>
      <c r="BN296" s="73"/>
      <c r="BO296" s="73"/>
      <c r="BP296" s="73"/>
      <c r="BQ296" s="73"/>
      <c r="BR296" s="73"/>
      <c r="BS296" s="73"/>
      <c r="BT296" s="73"/>
      <c r="BU296" s="73"/>
      <c r="BV296" s="73"/>
      <c r="BW296" s="73"/>
      <c r="BX296" s="73"/>
      <c r="BY296" s="73"/>
      <c r="BZ296" s="73"/>
      <c r="CA296" s="73"/>
      <c r="CB296" s="73"/>
      <c r="CC296" s="73"/>
      <c r="CD296" s="73"/>
      <c r="CE296" s="73"/>
      <c r="CF296" s="73"/>
      <c r="CG296" s="72"/>
      <c r="CH296" s="73"/>
      <c r="CI296" s="73"/>
      <c r="CJ296" s="73"/>
      <c r="CK296" s="72"/>
      <c r="CL296" s="72"/>
      <c r="CM296" s="72"/>
      <c r="CN296" s="72"/>
      <c r="CO296" s="72"/>
      <c r="CP296" s="72"/>
      <c r="CQ296" s="73"/>
      <c r="CR296" s="73"/>
      <c r="CS296" s="73"/>
      <c r="CT296" s="72"/>
      <c r="CU296" s="72"/>
      <c r="CV296" s="72"/>
      <c r="CW296" s="72"/>
      <c r="CX296" s="72"/>
      <c r="CY296" s="72"/>
      <c r="CZ296" s="72"/>
      <c r="DA296" s="72"/>
      <c r="DB296" s="72"/>
      <c r="DC296" s="72"/>
      <c r="DD296" s="72"/>
      <c r="DE296" s="72"/>
      <c r="DF296" s="72"/>
      <c r="DG296" s="72"/>
      <c r="DH296" s="72"/>
      <c r="DI296" s="72"/>
      <c r="DJ296" s="72"/>
      <c r="DK296" s="72"/>
      <c r="DL296" s="72"/>
      <c r="DM296" s="72"/>
      <c r="DN296" s="72"/>
      <c r="DO296" s="72"/>
      <c r="DP296" s="75"/>
      <c r="DQ296" s="76"/>
      <c r="DR296" s="77"/>
      <c r="DS296" s="72"/>
      <c r="DT296" s="73"/>
      <c r="DU296" s="72"/>
      <c r="DV296" s="73"/>
      <c r="DW296" s="73"/>
      <c r="DX296" s="73"/>
      <c r="DY296" s="73"/>
      <c r="DZ296" s="73"/>
      <c r="EA296" s="319"/>
    </row>
    <row r="297" spans="1:131" s="10" customFormat="1" hidden="1" x14ac:dyDescent="0.2">
      <c r="A297" s="68"/>
      <c r="B297" s="68"/>
      <c r="C297" s="68"/>
      <c r="D297" s="68"/>
      <c r="E297" s="69"/>
      <c r="F297" s="69"/>
      <c r="G297" s="69"/>
      <c r="H297" s="69"/>
      <c r="I297" s="68"/>
      <c r="J297" s="68"/>
      <c r="K297" s="69"/>
      <c r="L297" s="69"/>
      <c r="M297" s="69"/>
      <c r="N297" s="69"/>
      <c r="O297" s="69"/>
      <c r="P297" s="69"/>
      <c r="Q297" s="69"/>
      <c r="R297" s="69"/>
      <c r="S297" s="69"/>
      <c r="T297" s="70"/>
      <c r="U297" s="70"/>
      <c r="V297" s="70"/>
      <c r="W297" s="68"/>
      <c r="X297" s="68"/>
      <c r="Y297" s="50"/>
      <c r="Z297" s="50"/>
      <c r="AA297" s="71"/>
      <c r="AB297" s="70"/>
      <c r="AC297" s="72"/>
      <c r="AD297" s="72"/>
      <c r="AE297" s="73"/>
      <c r="AF297" s="73"/>
      <c r="AG297" s="73"/>
      <c r="AH297" s="73"/>
      <c r="AI297" s="73"/>
      <c r="AJ297" s="73"/>
      <c r="AK297" s="73"/>
      <c r="AL297" s="73"/>
      <c r="AM297" s="73"/>
      <c r="AN297" s="73"/>
      <c r="AO297" s="73"/>
      <c r="AP297" s="73"/>
      <c r="AQ297" s="73"/>
      <c r="AR297" s="73"/>
      <c r="AS297" s="73"/>
      <c r="AT297" s="73"/>
      <c r="AU297" s="73"/>
      <c r="AV297" s="73"/>
      <c r="AW297" s="73"/>
      <c r="AX297" s="73"/>
      <c r="AY297" s="73"/>
      <c r="AZ297" s="73"/>
      <c r="BA297" s="73"/>
      <c r="BB297" s="73"/>
      <c r="BC297" s="73"/>
      <c r="BD297" s="73"/>
      <c r="BE297" s="73"/>
      <c r="BF297" s="73"/>
      <c r="BG297" s="73"/>
      <c r="BH297" s="73"/>
      <c r="BI297" s="73"/>
      <c r="BJ297" s="73"/>
      <c r="BK297" s="73"/>
      <c r="BL297" s="73"/>
      <c r="BM297" s="73"/>
      <c r="BN297" s="73"/>
      <c r="BO297" s="73"/>
      <c r="BP297" s="73"/>
      <c r="BQ297" s="73"/>
      <c r="BR297" s="73"/>
      <c r="BS297" s="73"/>
      <c r="BT297" s="73"/>
      <c r="BU297" s="73"/>
      <c r="BV297" s="73"/>
      <c r="BW297" s="73"/>
      <c r="BX297" s="73"/>
      <c r="BY297" s="73"/>
      <c r="BZ297" s="73"/>
      <c r="CA297" s="73"/>
      <c r="CB297" s="73"/>
      <c r="CC297" s="73"/>
      <c r="CD297" s="73"/>
      <c r="CE297" s="73"/>
      <c r="CF297" s="73"/>
      <c r="CG297" s="72"/>
      <c r="CH297" s="73"/>
      <c r="CI297" s="73"/>
      <c r="CJ297" s="73"/>
      <c r="CK297" s="72"/>
      <c r="CL297" s="72"/>
      <c r="CM297" s="72"/>
      <c r="CN297" s="72"/>
      <c r="CO297" s="72"/>
      <c r="CP297" s="72"/>
      <c r="CQ297" s="73"/>
      <c r="CR297" s="73"/>
      <c r="CS297" s="73"/>
      <c r="CT297" s="72"/>
      <c r="CU297" s="72"/>
      <c r="CV297" s="72"/>
      <c r="CW297" s="72"/>
      <c r="CX297" s="72"/>
      <c r="CY297" s="72"/>
      <c r="CZ297" s="72"/>
      <c r="DA297" s="72"/>
      <c r="DB297" s="72"/>
      <c r="DC297" s="72"/>
      <c r="DD297" s="72"/>
      <c r="DE297" s="72"/>
      <c r="DF297" s="72"/>
      <c r="DG297" s="72"/>
      <c r="DH297" s="72"/>
      <c r="DI297" s="72"/>
      <c r="DJ297" s="72"/>
      <c r="DK297" s="72"/>
      <c r="DL297" s="72"/>
      <c r="DM297" s="72"/>
      <c r="DN297" s="72"/>
      <c r="DO297" s="72"/>
      <c r="DP297" s="75"/>
      <c r="DQ297" s="76"/>
      <c r="DR297" s="77"/>
      <c r="DS297" s="72"/>
      <c r="DT297" s="73"/>
      <c r="DU297" s="72"/>
      <c r="DV297" s="73"/>
      <c r="DW297" s="73"/>
      <c r="DX297" s="73"/>
      <c r="DY297" s="73"/>
      <c r="DZ297" s="73"/>
      <c r="EA297" s="319"/>
    </row>
    <row r="298" spans="1:131" s="10" customFormat="1" hidden="1" x14ac:dyDescent="0.2">
      <c r="A298" s="68"/>
      <c r="B298" s="68"/>
      <c r="C298" s="68"/>
      <c r="D298" s="68"/>
      <c r="E298" s="69"/>
      <c r="F298" s="69"/>
      <c r="G298" s="69"/>
      <c r="H298" s="69"/>
      <c r="I298" s="68"/>
      <c r="J298" s="68"/>
      <c r="K298" s="69"/>
      <c r="L298" s="69"/>
      <c r="M298" s="69"/>
      <c r="N298" s="69"/>
      <c r="O298" s="69"/>
      <c r="P298" s="69"/>
      <c r="Q298" s="69"/>
      <c r="R298" s="69"/>
      <c r="S298" s="69"/>
      <c r="T298" s="70"/>
      <c r="U298" s="70"/>
      <c r="V298" s="70"/>
      <c r="W298" s="68"/>
      <c r="X298" s="68"/>
      <c r="Y298" s="50"/>
      <c r="Z298" s="50"/>
      <c r="AA298" s="71"/>
      <c r="AB298" s="70"/>
      <c r="AC298" s="72"/>
      <c r="AD298" s="72"/>
      <c r="AE298" s="73"/>
      <c r="AF298" s="73"/>
      <c r="AG298" s="73"/>
      <c r="AH298" s="73"/>
      <c r="AI298" s="73"/>
      <c r="AJ298" s="73"/>
      <c r="AK298" s="73"/>
      <c r="AL298" s="73"/>
      <c r="AM298" s="73"/>
      <c r="AN298" s="73"/>
      <c r="AO298" s="73"/>
      <c r="AP298" s="73"/>
      <c r="AQ298" s="73"/>
      <c r="AR298" s="73"/>
      <c r="AS298" s="73"/>
      <c r="AT298" s="73"/>
      <c r="AU298" s="73"/>
      <c r="AV298" s="73"/>
      <c r="AW298" s="73"/>
      <c r="AX298" s="73"/>
      <c r="AY298" s="73"/>
      <c r="AZ298" s="73"/>
      <c r="BA298" s="73"/>
      <c r="BB298" s="73"/>
      <c r="BC298" s="73"/>
      <c r="BD298" s="73"/>
      <c r="BE298" s="73"/>
      <c r="BF298" s="73"/>
      <c r="BG298" s="73"/>
      <c r="BH298" s="73"/>
      <c r="BI298" s="73"/>
      <c r="BJ298" s="73"/>
      <c r="BK298" s="73"/>
      <c r="BL298" s="73"/>
      <c r="BM298" s="73"/>
      <c r="BN298" s="73"/>
      <c r="BO298" s="73"/>
      <c r="BP298" s="73"/>
      <c r="BQ298" s="73"/>
      <c r="BR298" s="73"/>
      <c r="BS298" s="73"/>
      <c r="BT298" s="73"/>
      <c r="BU298" s="73"/>
      <c r="BV298" s="73"/>
      <c r="BW298" s="73"/>
      <c r="BX298" s="73"/>
      <c r="BY298" s="73"/>
      <c r="BZ298" s="73"/>
      <c r="CA298" s="73"/>
      <c r="CB298" s="73"/>
      <c r="CC298" s="73"/>
      <c r="CD298" s="73"/>
      <c r="CE298" s="73"/>
      <c r="CF298" s="73"/>
      <c r="CG298" s="72"/>
      <c r="CH298" s="73"/>
      <c r="CI298" s="73"/>
      <c r="CJ298" s="73"/>
      <c r="CK298" s="72"/>
      <c r="CL298" s="72"/>
      <c r="CM298" s="72"/>
      <c r="CN298" s="72"/>
      <c r="CO298" s="72"/>
      <c r="CP298" s="72"/>
      <c r="CQ298" s="73"/>
      <c r="CR298" s="73"/>
      <c r="CS298" s="73"/>
      <c r="CT298" s="72"/>
      <c r="CU298" s="72"/>
      <c r="CV298" s="72"/>
      <c r="CW298" s="72"/>
      <c r="CX298" s="72"/>
      <c r="CY298" s="72"/>
      <c r="CZ298" s="72"/>
      <c r="DA298" s="72"/>
      <c r="DB298" s="72"/>
      <c r="DC298" s="72"/>
      <c r="DD298" s="72"/>
      <c r="DE298" s="72"/>
      <c r="DF298" s="72"/>
      <c r="DG298" s="72"/>
      <c r="DH298" s="72"/>
      <c r="DI298" s="72"/>
      <c r="DJ298" s="72"/>
      <c r="DK298" s="72"/>
      <c r="DL298" s="72"/>
      <c r="DM298" s="72"/>
      <c r="DN298" s="72"/>
      <c r="DO298" s="72"/>
      <c r="DP298" s="75"/>
      <c r="DQ298" s="76"/>
      <c r="DR298" s="77"/>
      <c r="DS298" s="72"/>
      <c r="DT298" s="73"/>
      <c r="DU298" s="72"/>
      <c r="DV298" s="73"/>
      <c r="DW298" s="73"/>
      <c r="DX298" s="73"/>
      <c r="DY298" s="73"/>
      <c r="DZ298" s="73"/>
      <c r="EA298" s="319"/>
    </row>
    <row r="299" spans="1:131" s="10" customFormat="1" hidden="1" x14ac:dyDescent="0.2">
      <c r="A299" s="68"/>
      <c r="B299" s="68"/>
      <c r="C299" s="68"/>
      <c r="D299" s="68"/>
      <c r="E299" s="69"/>
      <c r="F299" s="69"/>
      <c r="G299" s="69"/>
      <c r="H299" s="69"/>
      <c r="I299" s="68"/>
      <c r="J299" s="68"/>
      <c r="K299" s="69"/>
      <c r="L299" s="69"/>
      <c r="M299" s="69"/>
      <c r="N299" s="69"/>
      <c r="O299" s="69"/>
      <c r="P299" s="69"/>
      <c r="Q299" s="69"/>
      <c r="R299" s="69"/>
      <c r="S299" s="69"/>
      <c r="T299" s="70"/>
      <c r="U299" s="70"/>
      <c r="V299" s="70"/>
      <c r="W299" s="68"/>
      <c r="X299" s="68"/>
      <c r="Y299" s="50"/>
      <c r="Z299" s="50"/>
      <c r="AA299" s="71"/>
      <c r="AB299" s="70"/>
      <c r="AC299" s="72"/>
      <c r="AD299" s="72"/>
      <c r="AE299" s="73"/>
      <c r="AF299" s="73"/>
      <c r="AG299" s="73"/>
      <c r="AH299" s="73"/>
      <c r="AI299" s="73"/>
      <c r="AJ299" s="73"/>
      <c r="AK299" s="73"/>
      <c r="AL299" s="73"/>
      <c r="AM299" s="73"/>
      <c r="AN299" s="73"/>
      <c r="AO299" s="73"/>
      <c r="AP299" s="73"/>
      <c r="AQ299" s="73"/>
      <c r="AR299" s="73"/>
      <c r="AS299" s="73"/>
      <c r="AT299" s="73"/>
      <c r="AU299" s="73"/>
      <c r="AV299" s="73"/>
      <c r="AW299" s="73"/>
      <c r="AX299" s="73"/>
      <c r="AY299" s="73"/>
      <c r="AZ299" s="73"/>
      <c r="BA299" s="73"/>
      <c r="BB299" s="73"/>
      <c r="BC299" s="73"/>
      <c r="BD299" s="73"/>
      <c r="BE299" s="73"/>
      <c r="BF299" s="73"/>
      <c r="BG299" s="73"/>
      <c r="BH299" s="73"/>
      <c r="BI299" s="73"/>
      <c r="BJ299" s="73"/>
      <c r="BK299" s="73"/>
      <c r="BL299" s="73"/>
      <c r="BM299" s="73"/>
      <c r="BN299" s="73"/>
      <c r="BO299" s="73"/>
      <c r="BP299" s="73"/>
      <c r="BQ299" s="73"/>
      <c r="BR299" s="73"/>
      <c r="BS299" s="73"/>
      <c r="BT299" s="73"/>
      <c r="BU299" s="73"/>
      <c r="BV299" s="73"/>
      <c r="BW299" s="73"/>
      <c r="BX299" s="73"/>
      <c r="BY299" s="73"/>
      <c r="BZ299" s="73"/>
      <c r="CA299" s="73"/>
      <c r="CB299" s="73"/>
      <c r="CC299" s="73"/>
      <c r="CD299" s="73"/>
      <c r="CE299" s="73"/>
      <c r="CF299" s="73"/>
      <c r="CG299" s="72"/>
      <c r="CH299" s="73"/>
      <c r="CI299" s="73"/>
      <c r="CJ299" s="73"/>
      <c r="CK299" s="72"/>
      <c r="CL299" s="72"/>
      <c r="CM299" s="72"/>
      <c r="CN299" s="72"/>
      <c r="CO299" s="72"/>
      <c r="CP299" s="72"/>
      <c r="CQ299" s="73"/>
      <c r="CR299" s="73"/>
      <c r="CS299" s="73"/>
      <c r="CT299" s="72"/>
      <c r="CU299" s="72"/>
      <c r="CV299" s="72"/>
      <c r="CW299" s="72"/>
      <c r="CX299" s="72"/>
      <c r="CY299" s="72"/>
      <c r="CZ299" s="72"/>
      <c r="DA299" s="72"/>
      <c r="DB299" s="72"/>
      <c r="DC299" s="72"/>
      <c r="DD299" s="72"/>
      <c r="DE299" s="72"/>
      <c r="DF299" s="72"/>
      <c r="DG299" s="72"/>
      <c r="DH299" s="72"/>
      <c r="DI299" s="72"/>
      <c r="DJ299" s="72"/>
      <c r="DK299" s="72"/>
      <c r="DL299" s="72"/>
      <c r="DM299" s="72"/>
      <c r="DN299" s="72"/>
      <c r="DO299" s="72"/>
      <c r="DP299" s="75"/>
      <c r="DQ299" s="76"/>
      <c r="DR299" s="77"/>
      <c r="DS299" s="72"/>
      <c r="DT299" s="73"/>
      <c r="DU299" s="72"/>
      <c r="DV299" s="73"/>
      <c r="DW299" s="73"/>
      <c r="DX299" s="73"/>
      <c r="DY299" s="73"/>
      <c r="DZ299" s="73"/>
      <c r="EA299" s="319"/>
    </row>
    <row r="300" spans="1:131" s="10" customFormat="1" hidden="1" x14ac:dyDescent="0.2">
      <c r="A300" s="68"/>
      <c r="B300" s="68"/>
      <c r="C300" s="68"/>
      <c r="D300" s="68"/>
      <c r="E300" s="69"/>
      <c r="F300" s="69"/>
      <c r="G300" s="69"/>
      <c r="H300" s="69"/>
      <c r="I300" s="68"/>
      <c r="J300" s="68"/>
      <c r="K300" s="69"/>
      <c r="L300" s="69"/>
      <c r="M300" s="69"/>
      <c r="N300" s="69"/>
      <c r="O300" s="69"/>
      <c r="P300" s="69"/>
      <c r="Q300" s="69"/>
      <c r="R300" s="69"/>
      <c r="S300" s="69"/>
      <c r="T300" s="70"/>
      <c r="U300" s="70"/>
      <c r="V300" s="70"/>
      <c r="W300" s="68"/>
      <c r="X300" s="68"/>
      <c r="Y300" s="50"/>
      <c r="Z300" s="50"/>
      <c r="AA300" s="71"/>
      <c r="AB300" s="70"/>
      <c r="AC300" s="72"/>
      <c r="AD300" s="72"/>
      <c r="AE300" s="73"/>
      <c r="AF300" s="73"/>
      <c r="AG300" s="73"/>
      <c r="AH300" s="73"/>
      <c r="AI300" s="73"/>
      <c r="AJ300" s="73"/>
      <c r="AK300" s="73"/>
      <c r="AL300" s="73"/>
      <c r="AM300" s="73"/>
      <c r="AN300" s="73"/>
      <c r="AO300" s="73"/>
      <c r="AP300" s="73"/>
      <c r="AQ300" s="73"/>
      <c r="AR300" s="73"/>
      <c r="AS300" s="73"/>
      <c r="AT300" s="73"/>
      <c r="AU300" s="73"/>
      <c r="AV300" s="73"/>
      <c r="AW300" s="73"/>
      <c r="AX300" s="73"/>
      <c r="AY300" s="73"/>
      <c r="AZ300" s="73"/>
      <c r="BA300" s="73"/>
      <c r="BB300" s="73"/>
      <c r="BC300" s="73"/>
      <c r="BD300" s="73"/>
      <c r="BE300" s="73"/>
      <c r="BF300" s="73"/>
      <c r="BG300" s="73"/>
      <c r="BH300" s="73"/>
      <c r="BI300" s="73"/>
      <c r="BJ300" s="73"/>
      <c r="BK300" s="73"/>
      <c r="BL300" s="73"/>
      <c r="BM300" s="73"/>
      <c r="BN300" s="73"/>
      <c r="BO300" s="73"/>
      <c r="BP300" s="73"/>
      <c r="BQ300" s="73"/>
      <c r="BR300" s="73"/>
      <c r="BS300" s="73"/>
      <c r="BT300" s="73"/>
      <c r="BU300" s="73"/>
      <c r="BV300" s="73"/>
      <c r="BW300" s="73"/>
      <c r="BX300" s="73"/>
      <c r="BY300" s="73"/>
      <c r="BZ300" s="73"/>
      <c r="CA300" s="73"/>
      <c r="CB300" s="73"/>
      <c r="CC300" s="73"/>
      <c r="CD300" s="73"/>
      <c r="CE300" s="73"/>
      <c r="CF300" s="73"/>
      <c r="CG300" s="72"/>
      <c r="CH300" s="73"/>
      <c r="CI300" s="73"/>
      <c r="CJ300" s="73"/>
      <c r="CK300" s="72"/>
      <c r="CL300" s="72"/>
      <c r="CM300" s="72"/>
      <c r="CN300" s="72"/>
      <c r="CO300" s="72"/>
      <c r="CP300" s="72"/>
      <c r="CQ300" s="73"/>
      <c r="CR300" s="73"/>
      <c r="CS300" s="73"/>
      <c r="CT300" s="72"/>
      <c r="CU300" s="72"/>
      <c r="CV300" s="72"/>
      <c r="CW300" s="72"/>
      <c r="CX300" s="72"/>
      <c r="CY300" s="72"/>
      <c r="CZ300" s="72"/>
      <c r="DA300" s="72"/>
      <c r="DB300" s="72"/>
      <c r="DC300" s="72"/>
      <c r="DD300" s="72"/>
      <c r="DE300" s="72"/>
      <c r="DF300" s="72"/>
      <c r="DG300" s="72"/>
      <c r="DH300" s="72"/>
      <c r="DI300" s="72"/>
      <c r="DJ300" s="72"/>
      <c r="DK300" s="72"/>
      <c r="DL300" s="72"/>
      <c r="DM300" s="72"/>
      <c r="DN300" s="72"/>
      <c r="DO300" s="72"/>
      <c r="DP300" s="75"/>
      <c r="DQ300" s="76"/>
      <c r="DR300" s="77"/>
      <c r="DS300" s="72"/>
      <c r="DT300" s="73"/>
      <c r="DU300" s="72"/>
      <c r="DV300" s="73"/>
      <c r="DW300" s="73"/>
      <c r="DX300" s="73"/>
      <c r="DY300" s="73"/>
      <c r="DZ300" s="73"/>
      <c r="EA300" s="319"/>
    </row>
    <row r="301" spans="1:131" s="10" customFormat="1" hidden="1" x14ac:dyDescent="0.2">
      <c r="A301" s="68"/>
      <c r="B301" s="68"/>
      <c r="C301" s="68"/>
      <c r="D301" s="68"/>
      <c r="E301" s="69"/>
      <c r="F301" s="69"/>
      <c r="G301" s="69"/>
      <c r="H301" s="69"/>
      <c r="I301" s="68"/>
      <c r="J301" s="68"/>
      <c r="K301" s="69"/>
      <c r="L301" s="69"/>
      <c r="M301" s="69"/>
      <c r="N301" s="69"/>
      <c r="O301" s="69"/>
      <c r="P301" s="69"/>
      <c r="Q301" s="69"/>
      <c r="R301" s="69"/>
      <c r="S301" s="69"/>
      <c r="T301" s="70"/>
      <c r="U301" s="70"/>
      <c r="V301" s="70"/>
      <c r="W301" s="68"/>
      <c r="X301" s="68"/>
      <c r="Y301" s="50"/>
      <c r="Z301" s="50"/>
      <c r="AA301" s="71"/>
      <c r="AB301" s="70"/>
      <c r="AC301" s="72"/>
      <c r="AD301" s="72"/>
      <c r="AE301" s="73"/>
      <c r="AF301" s="73"/>
      <c r="AG301" s="73"/>
      <c r="AH301" s="73"/>
      <c r="AI301" s="73"/>
      <c r="AJ301" s="73"/>
      <c r="AK301" s="73"/>
      <c r="AL301" s="73"/>
      <c r="AM301" s="73"/>
      <c r="AN301" s="73"/>
      <c r="AO301" s="73"/>
      <c r="AP301" s="73"/>
      <c r="AQ301" s="73"/>
      <c r="AR301" s="73"/>
      <c r="AS301" s="73"/>
      <c r="AT301" s="73"/>
      <c r="AU301" s="73"/>
      <c r="AV301" s="73"/>
      <c r="AW301" s="73"/>
      <c r="AX301" s="73"/>
      <c r="AY301" s="73"/>
      <c r="AZ301" s="73"/>
      <c r="BA301" s="73"/>
      <c r="BB301" s="73"/>
      <c r="BC301" s="73"/>
      <c r="BD301" s="73"/>
      <c r="BE301" s="73"/>
      <c r="BF301" s="73"/>
      <c r="BG301" s="73"/>
      <c r="BH301" s="73"/>
      <c r="BI301" s="73"/>
      <c r="BJ301" s="73"/>
      <c r="BK301" s="73"/>
      <c r="BL301" s="73"/>
      <c r="BM301" s="73"/>
      <c r="BN301" s="73"/>
      <c r="BO301" s="73"/>
      <c r="BP301" s="73"/>
      <c r="BQ301" s="73"/>
      <c r="BR301" s="73"/>
      <c r="BS301" s="73"/>
      <c r="BT301" s="73"/>
      <c r="BU301" s="73"/>
      <c r="BV301" s="73"/>
      <c r="BW301" s="73"/>
      <c r="BX301" s="73"/>
      <c r="BY301" s="73"/>
      <c r="BZ301" s="73"/>
      <c r="CA301" s="73"/>
      <c r="CB301" s="73"/>
      <c r="CC301" s="73"/>
      <c r="CD301" s="73"/>
      <c r="CE301" s="73"/>
      <c r="CF301" s="73"/>
      <c r="CG301" s="72"/>
      <c r="CH301" s="73"/>
      <c r="CI301" s="73"/>
      <c r="CJ301" s="73"/>
      <c r="CK301" s="72"/>
      <c r="CL301" s="72"/>
      <c r="CM301" s="72"/>
      <c r="CN301" s="72"/>
      <c r="CO301" s="72"/>
      <c r="CP301" s="72"/>
      <c r="CQ301" s="73"/>
      <c r="CR301" s="73"/>
      <c r="CS301" s="73"/>
      <c r="CT301" s="72"/>
      <c r="CU301" s="72"/>
      <c r="CV301" s="72"/>
      <c r="CW301" s="72"/>
      <c r="CX301" s="72"/>
      <c r="CY301" s="72"/>
      <c r="CZ301" s="72"/>
      <c r="DA301" s="72"/>
      <c r="DB301" s="72"/>
      <c r="DC301" s="72"/>
      <c r="DD301" s="72"/>
      <c r="DE301" s="72"/>
      <c r="DF301" s="72"/>
      <c r="DG301" s="72"/>
      <c r="DH301" s="72"/>
      <c r="DI301" s="72"/>
      <c r="DJ301" s="72"/>
      <c r="DK301" s="72"/>
      <c r="DL301" s="72"/>
      <c r="DM301" s="72"/>
      <c r="DN301" s="72"/>
      <c r="DO301" s="72"/>
      <c r="DP301" s="75"/>
      <c r="DQ301" s="76"/>
      <c r="DR301" s="77"/>
      <c r="DS301" s="72"/>
      <c r="DT301" s="73"/>
      <c r="DU301" s="72"/>
      <c r="DV301" s="73"/>
      <c r="DW301" s="73"/>
      <c r="DX301" s="73"/>
      <c r="DY301" s="73"/>
      <c r="DZ301" s="73"/>
      <c r="EA301" s="319"/>
    </row>
    <row r="302" spans="1:131" s="10" customFormat="1" hidden="1" x14ac:dyDescent="0.2">
      <c r="A302" s="68"/>
      <c r="B302" s="68"/>
      <c r="C302" s="68"/>
      <c r="D302" s="68"/>
      <c r="E302" s="69"/>
      <c r="F302" s="69"/>
      <c r="G302" s="69"/>
      <c r="H302" s="69"/>
      <c r="I302" s="68"/>
      <c r="J302" s="68"/>
      <c r="K302" s="69"/>
      <c r="L302" s="69"/>
      <c r="M302" s="69"/>
      <c r="N302" s="69"/>
      <c r="O302" s="69"/>
      <c r="P302" s="69"/>
      <c r="Q302" s="69"/>
      <c r="R302" s="69"/>
      <c r="S302" s="69"/>
      <c r="T302" s="70"/>
      <c r="U302" s="70"/>
      <c r="V302" s="70"/>
      <c r="W302" s="68"/>
      <c r="X302" s="68"/>
      <c r="Y302" s="50"/>
      <c r="Z302" s="50"/>
      <c r="AA302" s="71"/>
      <c r="AB302" s="70"/>
      <c r="AC302" s="72"/>
      <c r="AD302" s="72"/>
      <c r="AE302" s="73"/>
      <c r="AF302" s="73"/>
      <c r="AG302" s="73"/>
      <c r="AH302" s="73"/>
      <c r="AI302" s="73"/>
      <c r="AJ302" s="73"/>
      <c r="AK302" s="73"/>
      <c r="AL302" s="73"/>
      <c r="AM302" s="73"/>
      <c r="AN302" s="73"/>
      <c r="AO302" s="73"/>
      <c r="AP302" s="73"/>
      <c r="AQ302" s="73"/>
      <c r="AR302" s="73"/>
      <c r="AS302" s="73"/>
      <c r="AT302" s="73"/>
      <c r="AU302" s="73"/>
      <c r="AV302" s="73"/>
      <c r="AW302" s="73"/>
      <c r="AX302" s="73"/>
      <c r="AY302" s="73"/>
      <c r="AZ302" s="73"/>
      <c r="BA302" s="73"/>
      <c r="BB302" s="73"/>
      <c r="BC302" s="73"/>
      <c r="BD302" s="73"/>
      <c r="BE302" s="73"/>
      <c r="BF302" s="73"/>
      <c r="BG302" s="73"/>
      <c r="BH302" s="73"/>
      <c r="BI302" s="73"/>
      <c r="BJ302" s="73"/>
      <c r="BK302" s="73"/>
      <c r="BL302" s="73"/>
      <c r="BM302" s="73"/>
      <c r="BN302" s="73"/>
      <c r="BO302" s="73"/>
      <c r="BP302" s="73"/>
      <c r="BQ302" s="73"/>
      <c r="BR302" s="73"/>
      <c r="BS302" s="73"/>
      <c r="BT302" s="73"/>
      <c r="BU302" s="73"/>
      <c r="BV302" s="73"/>
      <c r="BW302" s="73"/>
      <c r="BX302" s="73"/>
      <c r="BY302" s="73"/>
      <c r="BZ302" s="73"/>
      <c r="CA302" s="73"/>
      <c r="CB302" s="73"/>
      <c r="CC302" s="73"/>
      <c r="CD302" s="73"/>
      <c r="CE302" s="73"/>
      <c r="CF302" s="73"/>
      <c r="CG302" s="72"/>
      <c r="CH302" s="73"/>
      <c r="CI302" s="73"/>
      <c r="CJ302" s="73"/>
      <c r="CK302" s="72"/>
      <c r="CL302" s="72"/>
      <c r="CM302" s="72"/>
      <c r="CN302" s="72"/>
      <c r="CO302" s="72"/>
      <c r="CP302" s="72"/>
      <c r="CQ302" s="73"/>
      <c r="CR302" s="73"/>
      <c r="CS302" s="73"/>
      <c r="CT302" s="72"/>
      <c r="CU302" s="72"/>
      <c r="CV302" s="72"/>
      <c r="CW302" s="72"/>
      <c r="CX302" s="72"/>
      <c r="CY302" s="72"/>
      <c r="CZ302" s="72"/>
      <c r="DA302" s="72"/>
      <c r="DB302" s="72"/>
      <c r="DC302" s="72"/>
      <c r="DD302" s="72"/>
      <c r="DE302" s="72"/>
      <c r="DF302" s="72"/>
      <c r="DG302" s="72"/>
      <c r="DH302" s="72"/>
      <c r="DI302" s="72"/>
      <c r="DJ302" s="72"/>
      <c r="DK302" s="72"/>
      <c r="DL302" s="72"/>
      <c r="DM302" s="72"/>
      <c r="DN302" s="72"/>
      <c r="DO302" s="72"/>
      <c r="DP302" s="75"/>
      <c r="DQ302" s="76"/>
      <c r="DR302" s="77"/>
      <c r="DS302" s="72"/>
      <c r="DT302" s="73"/>
      <c r="DU302" s="72"/>
      <c r="DV302" s="73"/>
      <c r="DW302" s="73"/>
      <c r="DX302" s="73"/>
      <c r="DY302" s="73"/>
      <c r="DZ302" s="73"/>
      <c r="EA302" s="319"/>
    </row>
    <row r="303" spans="1:131" s="10" customFormat="1" x14ac:dyDescent="0.2">
      <c r="A303" s="68"/>
      <c r="B303" s="68"/>
      <c r="C303" s="68"/>
      <c r="D303" s="68"/>
      <c r="E303" s="69"/>
      <c r="F303" s="69"/>
      <c r="G303" s="69"/>
      <c r="H303" s="69"/>
      <c r="I303" s="68"/>
      <c r="J303" s="68"/>
      <c r="K303" s="69"/>
      <c r="L303" s="69"/>
      <c r="M303" s="69"/>
      <c r="N303" s="69"/>
      <c r="O303" s="69"/>
      <c r="P303" s="69"/>
      <c r="Q303" s="69"/>
      <c r="R303" s="69"/>
      <c r="S303" s="69"/>
      <c r="T303" s="70"/>
      <c r="U303" s="70"/>
      <c r="V303" s="70"/>
      <c r="W303" s="68"/>
      <c r="X303" s="68"/>
      <c r="Y303" s="50"/>
      <c r="Z303" s="50"/>
      <c r="AA303" s="71"/>
      <c r="AB303" s="70"/>
      <c r="AC303" s="72"/>
      <c r="AD303" s="72"/>
      <c r="AE303" s="73"/>
      <c r="AF303" s="73"/>
      <c r="AG303" s="73"/>
      <c r="AH303" s="73"/>
      <c r="AI303" s="73"/>
      <c r="AJ303" s="73"/>
      <c r="AK303" s="73"/>
      <c r="AL303" s="73"/>
      <c r="AM303" s="73"/>
      <c r="AN303" s="73"/>
      <c r="AO303" s="73"/>
      <c r="AP303" s="73"/>
      <c r="AQ303" s="73"/>
      <c r="AR303" s="73"/>
      <c r="AS303" s="73"/>
      <c r="AT303" s="73"/>
      <c r="AU303" s="73"/>
      <c r="AV303" s="73"/>
      <c r="AW303" s="73"/>
      <c r="AX303" s="73"/>
      <c r="AY303" s="73"/>
      <c r="AZ303" s="73"/>
      <c r="BA303" s="73"/>
      <c r="BB303" s="73"/>
      <c r="BC303" s="73"/>
      <c r="BD303" s="73"/>
      <c r="BE303" s="73"/>
      <c r="BF303" s="73"/>
      <c r="BG303" s="73"/>
      <c r="BH303" s="73"/>
      <c r="BI303" s="73"/>
      <c r="BJ303" s="73"/>
      <c r="BK303" s="73"/>
      <c r="BL303" s="73"/>
      <c r="BM303" s="73"/>
      <c r="BN303" s="73"/>
      <c r="BO303" s="73"/>
      <c r="BP303" s="73"/>
      <c r="BQ303" s="73"/>
      <c r="BR303" s="73"/>
      <c r="BS303" s="73"/>
      <c r="BT303" s="73"/>
      <c r="BU303" s="73"/>
      <c r="BV303" s="73"/>
      <c r="BW303" s="73"/>
      <c r="BX303" s="73"/>
      <c r="BY303" s="73"/>
      <c r="BZ303" s="73"/>
      <c r="CA303" s="73"/>
      <c r="CB303" s="73"/>
      <c r="CC303" s="73"/>
      <c r="CD303" s="73"/>
      <c r="CE303" s="73"/>
      <c r="CF303" s="73"/>
      <c r="CG303" s="72"/>
      <c r="CH303" s="73"/>
      <c r="CI303" s="73"/>
      <c r="CJ303" s="73"/>
      <c r="CK303" s="72"/>
      <c r="CL303" s="72"/>
      <c r="CM303" s="72"/>
      <c r="CN303" s="72"/>
      <c r="CO303" s="72"/>
      <c r="CP303" s="72"/>
      <c r="CQ303" s="73"/>
      <c r="CR303" s="73"/>
      <c r="CS303" s="73"/>
      <c r="CT303" s="72"/>
      <c r="CU303" s="72"/>
      <c r="CV303" s="72"/>
      <c r="CW303" s="72"/>
      <c r="CX303" s="72"/>
      <c r="CY303" s="72"/>
      <c r="CZ303" s="72"/>
      <c r="DA303" s="72"/>
      <c r="DB303" s="72"/>
      <c r="DC303" s="72"/>
      <c r="DD303" s="72"/>
      <c r="DE303" s="72"/>
      <c r="DF303" s="72"/>
      <c r="DG303" s="72"/>
      <c r="DH303" s="72"/>
      <c r="DI303" s="72"/>
      <c r="DJ303" s="72"/>
      <c r="DK303" s="72"/>
      <c r="DL303" s="72"/>
      <c r="DM303" s="72"/>
      <c r="DN303" s="72"/>
      <c r="DO303" s="72"/>
      <c r="DP303" s="75"/>
      <c r="DQ303" s="76"/>
      <c r="DR303" s="77"/>
      <c r="DS303" s="72"/>
      <c r="DT303" s="73"/>
      <c r="DU303" s="72"/>
      <c r="DV303" s="73"/>
      <c r="DW303" s="73"/>
      <c r="DX303" s="73"/>
      <c r="DY303" s="73"/>
      <c r="DZ303" s="73"/>
      <c r="EA303" s="319"/>
    </row>
    <row r="304" spans="1:131" s="10" customFormat="1" x14ac:dyDescent="0.2">
      <c r="A304" s="68"/>
      <c r="B304" s="68"/>
      <c r="C304" s="68"/>
      <c r="D304" s="68"/>
      <c r="E304" s="69"/>
      <c r="F304" s="69"/>
      <c r="G304" s="69"/>
      <c r="H304" s="69"/>
      <c r="I304" s="68"/>
      <c r="J304" s="68"/>
      <c r="K304" s="69"/>
      <c r="L304" s="69"/>
      <c r="M304" s="69"/>
      <c r="N304" s="69"/>
      <c r="O304" s="69"/>
      <c r="P304" s="69"/>
      <c r="Q304" s="69"/>
      <c r="R304" s="69"/>
      <c r="S304" s="69"/>
      <c r="T304" s="70"/>
      <c r="U304" s="70"/>
      <c r="V304" s="70"/>
      <c r="W304" s="68"/>
      <c r="X304" s="68"/>
      <c r="Y304" s="50"/>
      <c r="Z304" s="50"/>
      <c r="AA304" s="71"/>
      <c r="AB304" s="70"/>
      <c r="AC304" s="72"/>
      <c r="AD304" s="72"/>
      <c r="AE304" s="73"/>
      <c r="AF304" s="73"/>
      <c r="AG304" s="73"/>
      <c r="AH304" s="73"/>
      <c r="AI304" s="73"/>
      <c r="AJ304" s="73"/>
      <c r="AK304" s="73"/>
      <c r="AL304" s="73"/>
      <c r="AM304" s="73"/>
      <c r="AN304" s="73"/>
      <c r="AO304" s="73"/>
      <c r="AP304" s="73"/>
      <c r="AQ304" s="73"/>
      <c r="AR304" s="73"/>
      <c r="AS304" s="73"/>
      <c r="AT304" s="73"/>
      <c r="AU304" s="73"/>
      <c r="AV304" s="73"/>
      <c r="AW304" s="73"/>
      <c r="AX304" s="73"/>
      <c r="AY304" s="73"/>
      <c r="AZ304" s="73"/>
      <c r="BA304" s="73"/>
      <c r="BB304" s="73"/>
      <c r="BC304" s="73"/>
      <c r="BD304" s="73"/>
      <c r="BE304" s="73"/>
      <c r="BF304" s="73"/>
      <c r="BG304" s="73"/>
      <c r="BH304" s="73"/>
      <c r="BI304" s="73"/>
      <c r="BJ304" s="73"/>
      <c r="BK304" s="73"/>
      <c r="BL304" s="73"/>
      <c r="BM304" s="73"/>
      <c r="BN304" s="73"/>
      <c r="BO304" s="73"/>
      <c r="BP304" s="73"/>
      <c r="BQ304" s="73"/>
      <c r="BR304" s="73"/>
      <c r="BS304" s="73"/>
      <c r="BT304" s="73"/>
      <c r="BU304" s="73"/>
      <c r="BV304" s="73"/>
      <c r="BW304" s="73"/>
      <c r="BX304" s="73"/>
      <c r="BY304" s="73"/>
      <c r="BZ304" s="73"/>
      <c r="CA304" s="73"/>
      <c r="CB304" s="73"/>
      <c r="CC304" s="73"/>
      <c r="CD304" s="73"/>
      <c r="CE304" s="73"/>
      <c r="CF304" s="73"/>
      <c r="CG304" s="72"/>
      <c r="CH304" s="73"/>
      <c r="CI304" s="73"/>
      <c r="CJ304" s="73"/>
      <c r="CK304" s="72"/>
      <c r="CL304" s="72"/>
      <c r="CM304" s="72"/>
      <c r="CN304" s="72"/>
      <c r="CO304" s="72"/>
      <c r="CP304" s="72"/>
      <c r="CQ304" s="73"/>
      <c r="CR304" s="73"/>
      <c r="CS304" s="73"/>
      <c r="CT304" s="72"/>
      <c r="CU304" s="72"/>
      <c r="CV304" s="72"/>
      <c r="CW304" s="72"/>
      <c r="CX304" s="72"/>
      <c r="CY304" s="72"/>
      <c r="CZ304" s="72"/>
      <c r="DA304" s="72"/>
      <c r="DB304" s="72"/>
      <c r="DC304" s="72"/>
      <c r="DD304" s="72"/>
      <c r="DE304" s="72"/>
      <c r="DF304" s="72"/>
      <c r="DG304" s="72"/>
      <c r="DH304" s="72"/>
      <c r="DI304" s="72"/>
      <c r="DJ304" s="72"/>
      <c r="DK304" s="72"/>
      <c r="DL304" s="72"/>
      <c r="DM304" s="72"/>
      <c r="DN304" s="72"/>
      <c r="DO304" s="72"/>
      <c r="DP304" s="75"/>
      <c r="DQ304" s="76"/>
      <c r="DR304" s="77"/>
      <c r="DS304" s="72"/>
      <c r="DT304" s="73"/>
      <c r="DU304" s="72"/>
      <c r="DV304" s="73"/>
      <c r="DW304" s="73"/>
      <c r="DX304" s="73"/>
      <c r="DY304" s="73"/>
      <c r="DZ304" s="73"/>
      <c r="EA304" s="319"/>
    </row>
    <row r="305" spans="1:130" x14ac:dyDescent="0.2">
      <c r="A305" s="78"/>
      <c r="B305" s="78"/>
      <c r="C305" s="78"/>
      <c r="D305" s="78"/>
      <c r="E305" s="79"/>
      <c r="F305" s="79"/>
      <c r="G305" s="79"/>
      <c r="H305" s="79"/>
      <c r="I305" s="78"/>
      <c r="J305" s="78"/>
      <c r="K305" s="79"/>
      <c r="L305" s="79"/>
      <c r="M305" s="79"/>
      <c r="N305" s="79"/>
      <c r="O305" s="79"/>
      <c r="P305" s="79"/>
      <c r="Q305" s="79"/>
      <c r="R305" s="79"/>
      <c r="S305" s="79"/>
      <c r="T305" s="80"/>
      <c r="U305" s="80"/>
      <c r="V305" s="80"/>
      <c r="W305" s="68"/>
      <c r="X305" s="68"/>
      <c r="Y305" s="88"/>
      <c r="Z305" s="81"/>
      <c r="AA305" s="86"/>
      <c r="AB305" s="80"/>
      <c r="AC305" s="83"/>
      <c r="AD305" s="83"/>
      <c r="AE305" s="73"/>
      <c r="AF305" s="73"/>
      <c r="AG305" s="73"/>
      <c r="AH305" s="73"/>
      <c r="AI305" s="73"/>
      <c r="AJ305" s="246"/>
      <c r="AK305" s="82"/>
      <c r="AL305" s="82"/>
      <c r="AM305" s="82"/>
      <c r="AN305" s="82"/>
      <c r="AO305" s="82"/>
      <c r="AP305" s="82"/>
      <c r="AQ305" s="82"/>
      <c r="AR305" s="82"/>
      <c r="AS305" s="82"/>
      <c r="AT305" s="82"/>
      <c r="AU305" s="82"/>
      <c r="AV305" s="82"/>
      <c r="AW305" s="82"/>
      <c r="AX305" s="82"/>
      <c r="AY305" s="82"/>
      <c r="AZ305" s="82"/>
      <c r="BA305" s="82"/>
      <c r="BB305" s="82"/>
      <c r="BC305" s="82"/>
      <c r="BD305" s="82"/>
      <c r="BE305" s="82"/>
      <c r="BF305" s="82"/>
      <c r="BG305" s="82"/>
      <c r="BH305" s="82"/>
      <c r="BI305" s="82"/>
      <c r="BJ305" s="82"/>
      <c r="BK305" s="82"/>
      <c r="BL305" s="82"/>
      <c r="BM305" s="82"/>
      <c r="BN305" s="82"/>
      <c r="BO305" s="82"/>
      <c r="BP305" s="82"/>
      <c r="BQ305" s="82"/>
      <c r="BR305" s="82"/>
      <c r="BS305" s="82"/>
      <c r="BT305" s="82"/>
      <c r="BU305" s="82"/>
      <c r="BV305" s="82"/>
      <c r="BW305" s="82"/>
      <c r="BX305" s="82"/>
      <c r="BY305" s="82"/>
      <c r="BZ305" s="82"/>
      <c r="CA305" s="82"/>
      <c r="CB305" s="82"/>
      <c r="CC305" s="82"/>
      <c r="CD305" s="82"/>
      <c r="CE305" s="82"/>
      <c r="CF305" s="82"/>
      <c r="CG305" s="83"/>
      <c r="CH305" s="73"/>
      <c r="CI305" s="73"/>
      <c r="CJ305" s="73"/>
      <c r="CK305" s="83"/>
      <c r="CL305" s="83"/>
      <c r="CM305" s="83"/>
      <c r="CN305" s="74"/>
      <c r="CO305" s="83"/>
      <c r="CP305" s="83"/>
      <c r="CQ305" s="82"/>
      <c r="CR305" s="73"/>
      <c r="CS305" s="73"/>
      <c r="CT305" s="83"/>
      <c r="CU305" s="83"/>
      <c r="CV305" s="83"/>
      <c r="CW305" s="83"/>
      <c r="CX305" s="83"/>
      <c r="CY305" s="83"/>
      <c r="CZ305" s="83"/>
      <c r="DA305" s="83"/>
      <c r="DB305" s="83"/>
      <c r="DC305" s="83"/>
      <c r="DD305" s="83"/>
      <c r="DE305" s="83"/>
      <c r="DF305" s="83"/>
      <c r="DG305" s="83"/>
      <c r="DH305" s="83"/>
      <c r="DI305" s="83"/>
      <c r="DJ305" s="83"/>
      <c r="DK305" s="83"/>
      <c r="DL305" s="83"/>
      <c r="DM305" s="83"/>
      <c r="DN305" s="83"/>
      <c r="DO305" s="83"/>
      <c r="DP305" s="87"/>
      <c r="DQ305" s="76"/>
      <c r="DR305" s="77"/>
      <c r="DS305" s="83"/>
      <c r="DT305" s="82"/>
      <c r="DU305" s="83"/>
      <c r="DV305" s="82"/>
      <c r="DW305" s="82"/>
      <c r="DX305" s="82"/>
      <c r="DY305" s="82"/>
      <c r="DZ305" s="73"/>
    </row>
    <row r="306" spans="1:130" x14ac:dyDescent="0.25">
      <c r="A306" s="84"/>
      <c r="B306" s="84"/>
      <c r="C306" s="84"/>
      <c r="D306" s="84"/>
      <c r="E306" s="89"/>
      <c r="F306" s="89"/>
      <c r="G306" s="89"/>
      <c r="H306" s="89"/>
      <c r="I306" s="84"/>
      <c r="J306" s="84"/>
      <c r="K306" s="89"/>
      <c r="L306" s="89"/>
      <c r="M306" s="351"/>
      <c r="N306" s="89"/>
      <c r="O306" s="89"/>
      <c r="P306" s="89"/>
      <c r="Q306" s="89"/>
      <c r="R306" s="89"/>
      <c r="S306" s="89"/>
      <c r="T306" s="85"/>
      <c r="U306" s="85"/>
      <c r="V306" s="85"/>
      <c r="W306" s="10"/>
      <c r="X306" s="10"/>
      <c r="Z306" s="88"/>
      <c r="AA306" s="91"/>
      <c r="AB306" s="91"/>
      <c r="AC306" s="92"/>
      <c r="AD306" s="92"/>
      <c r="AE306" s="93"/>
      <c r="AF306" s="93"/>
      <c r="AG306" s="93"/>
      <c r="AH306" s="93"/>
      <c r="AI306" s="93"/>
      <c r="AJ306" s="247"/>
      <c r="AK306" s="299"/>
      <c r="AL306" s="299"/>
      <c r="AM306" s="299"/>
      <c r="AN306" s="299"/>
      <c r="AO306" s="299"/>
      <c r="AP306" s="299"/>
      <c r="AQ306" s="299"/>
      <c r="AR306" s="299"/>
      <c r="AS306" s="299"/>
      <c r="AT306" s="299"/>
      <c r="AU306" s="299"/>
      <c r="AV306" s="299"/>
      <c r="AW306" s="299"/>
      <c r="AX306" s="299"/>
      <c r="AY306" s="299"/>
      <c r="AZ306" s="299"/>
      <c r="BA306" s="299"/>
      <c r="BB306" s="299"/>
      <c r="BC306" s="299"/>
      <c r="BD306" s="299"/>
      <c r="BE306" s="299"/>
      <c r="BF306" s="299"/>
      <c r="BG306" s="299"/>
      <c r="BH306" s="299"/>
      <c r="BI306" s="299"/>
      <c r="BJ306" s="299"/>
      <c r="BK306" s="299"/>
      <c r="BL306" s="299"/>
      <c r="BM306" s="299"/>
      <c r="BN306" s="299"/>
      <c r="BO306" s="299"/>
      <c r="BP306" s="299"/>
      <c r="BQ306" s="299"/>
      <c r="BR306" s="299"/>
      <c r="BS306" s="299"/>
      <c r="BT306" s="299"/>
      <c r="BU306" s="299"/>
      <c r="BV306" s="299"/>
      <c r="BW306" s="299"/>
      <c r="BX306" s="299"/>
      <c r="BY306" s="299"/>
      <c r="BZ306" s="299"/>
      <c r="CA306" s="299"/>
      <c r="CB306" s="299"/>
      <c r="CC306" s="299"/>
      <c r="CD306" s="299"/>
      <c r="CE306" s="299"/>
      <c r="CF306" s="299"/>
      <c r="CG306" s="92"/>
      <c r="CH306" s="93"/>
      <c r="CI306" s="93"/>
      <c r="CJ306" s="93"/>
      <c r="CK306" s="92"/>
      <c r="CL306" s="92"/>
      <c r="CM306" s="92"/>
      <c r="CN306" s="94"/>
      <c r="CO306" s="92"/>
      <c r="CP306" s="92"/>
      <c r="CQ306" s="95"/>
      <c r="CR306" s="93"/>
      <c r="CS306" s="93"/>
      <c r="CT306" s="92"/>
      <c r="CU306" s="92"/>
      <c r="CV306" s="92"/>
      <c r="CW306" s="92"/>
      <c r="CX306" s="92"/>
      <c r="CY306" s="92"/>
      <c r="CZ306" s="92"/>
      <c r="DA306" s="92"/>
      <c r="DB306" s="92"/>
      <c r="DC306" s="92"/>
      <c r="DD306" s="92"/>
      <c r="DE306" s="92"/>
      <c r="DF306" s="92"/>
      <c r="DG306" s="92"/>
      <c r="DH306" s="92"/>
      <c r="DI306" s="92"/>
      <c r="DJ306" s="92"/>
      <c r="DK306" s="92"/>
      <c r="DL306" s="92"/>
      <c r="DM306" s="92"/>
      <c r="DN306" s="92"/>
      <c r="DO306" s="92"/>
      <c r="DP306" s="96"/>
      <c r="DQ306" s="97"/>
      <c r="DR306" s="98"/>
      <c r="DS306" s="92"/>
      <c r="DT306" s="95"/>
      <c r="DU306" s="92"/>
      <c r="DV306" s="95"/>
      <c r="DW306" s="95"/>
      <c r="DX306" s="95"/>
      <c r="DY306" s="95"/>
      <c r="DZ306" s="108"/>
    </row>
    <row r="308" spans="1:130" x14ac:dyDescent="0.25">
      <c r="AK308" s="102"/>
      <c r="AL308" s="102"/>
      <c r="AM308" s="102"/>
      <c r="AN308" s="102"/>
      <c r="AO308" s="102"/>
      <c r="AP308" s="102"/>
      <c r="AQ308" s="102"/>
      <c r="AR308" s="102"/>
      <c r="AS308" s="102"/>
      <c r="AT308" s="102"/>
      <c r="AU308" s="102"/>
      <c r="AV308" s="102"/>
      <c r="AW308" s="102"/>
      <c r="AX308" s="102"/>
      <c r="AY308" s="102"/>
      <c r="AZ308" s="102"/>
      <c r="BA308" s="102"/>
      <c r="BB308" s="102"/>
      <c r="BC308" s="102"/>
      <c r="BD308" s="102"/>
      <c r="BE308" s="102"/>
      <c r="BF308" s="102"/>
      <c r="BG308" s="102"/>
      <c r="BH308" s="102"/>
      <c r="BI308" s="102"/>
      <c r="BJ308" s="102"/>
      <c r="BK308" s="102"/>
      <c r="BL308" s="102"/>
      <c r="BM308" s="102"/>
      <c r="BN308" s="102"/>
      <c r="BO308" s="102"/>
      <c r="BP308" s="102"/>
      <c r="BQ308" s="102"/>
      <c r="BR308" s="102"/>
      <c r="BS308" s="102"/>
      <c r="BT308" s="102"/>
      <c r="BU308" s="102"/>
      <c r="BV308" s="102"/>
      <c r="BW308" s="102"/>
      <c r="BX308" s="102"/>
      <c r="BY308" s="102"/>
      <c r="BZ308" s="102"/>
      <c r="CA308" s="102"/>
      <c r="CB308" s="102"/>
      <c r="CC308" s="102"/>
      <c r="CD308" s="102"/>
      <c r="CE308" s="102"/>
      <c r="CG308" s="102">
        <f>SUBTOTAL(9,CG187:CG205)</f>
        <v>17000000</v>
      </c>
    </row>
  </sheetData>
  <autoFilter ref="A5:EA246"/>
  <mergeCells count="2">
    <mergeCell ref="A3:DZ4"/>
    <mergeCell ref="A2:CF2"/>
  </mergeCells>
  <phoneticPr fontId="4" type="noConversion"/>
  <printOptions gridLines="1"/>
  <pageMargins left="0.196850393700787" right="0.196850393700787" top="0.31496062992126" bottom="0.2" header="0.23622047244094499" footer="0.19400000000000001"/>
  <pageSetup paperSize="8" scale="76" orientation="landscape" r:id="rId1"/>
  <headerFooter alignWithMargins="0">
    <oddFooter>Page &amp;P of &amp;N</oddFooter>
  </headerFooter>
  <rowBreaks count="5" manualBreakCount="5">
    <brk id="52" max="16383" man="1"/>
    <brk id="102" max="16383" man="1"/>
    <brk id="142" max="16383" man="1"/>
    <brk id="186" max="83" man="1"/>
    <brk id="23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BC404"/>
  <sheetViews>
    <sheetView workbookViewId="0">
      <selection activeCell="AH9" sqref="AH9"/>
    </sheetView>
  </sheetViews>
  <sheetFormatPr defaultRowHeight="12.75" x14ac:dyDescent="0.2"/>
  <cols>
    <col min="1" max="1" width="50.7109375" customWidth="1"/>
    <col min="2" max="2" width="12.5703125" style="242" hidden="1" customWidth="1"/>
    <col min="3" max="3" width="11.28515625" style="242" hidden="1" customWidth="1"/>
    <col min="4" max="4" width="12.85546875" style="243" hidden="1" customWidth="1"/>
    <col min="5" max="5" width="12.28515625" style="243" hidden="1" customWidth="1"/>
    <col min="6" max="6" width="12.5703125" style="243" hidden="1" customWidth="1"/>
    <col min="7" max="7" width="12" hidden="1" customWidth="1"/>
    <col min="8" max="8" width="12.42578125" hidden="1" customWidth="1"/>
    <col min="9" max="9" width="12.7109375" bestFit="1" customWidth="1"/>
    <col min="10" max="11" width="9.28515625" hidden="1" customWidth="1"/>
    <col min="12" max="13" width="11.140625" hidden="1" customWidth="1"/>
    <col min="14" max="14" width="12.7109375" hidden="1" customWidth="1"/>
    <col min="15" max="15" width="11.28515625" hidden="1" customWidth="1"/>
    <col min="16" max="17" width="10.28515625" customWidth="1"/>
    <col min="18" max="19" width="9.28515625" hidden="1" customWidth="1"/>
    <col min="20" max="21" width="9.42578125" hidden="1" customWidth="1"/>
    <col min="22" max="22" width="7.5703125" hidden="1" customWidth="1"/>
    <col min="23" max="23" width="9.28515625" hidden="1" customWidth="1"/>
    <col min="24" max="24" width="8.140625" hidden="1" customWidth="1"/>
    <col min="25" max="25" width="9.28515625" hidden="1" customWidth="1"/>
    <col min="26" max="27" width="10.5703125" hidden="1" customWidth="1"/>
    <col min="28" max="29" width="9.140625" hidden="1" customWidth="1"/>
    <col min="30" max="31" width="8.7109375" hidden="1" customWidth="1"/>
    <col min="32" max="33" width="9.42578125" hidden="1" customWidth="1"/>
    <col min="34" max="34" width="12.42578125" customWidth="1"/>
    <col min="35" max="35" width="11.28515625" bestFit="1" customWidth="1"/>
    <col min="36" max="36" width="12.42578125" bestFit="1" customWidth="1"/>
    <col min="37" max="37" width="12.7109375" bestFit="1" customWidth="1"/>
    <col min="38" max="38" width="13.140625" bestFit="1" customWidth="1"/>
    <col min="39" max="40" width="10.7109375" bestFit="1" customWidth="1"/>
    <col min="41" max="42" width="12.7109375" bestFit="1" customWidth="1"/>
    <col min="43" max="43" width="9.7109375" style="132" bestFit="1" customWidth="1"/>
    <col min="44" max="44" width="14" hidden="1" customWidth="1"/>
    <col min="45" max="45" width="4.85546875" style="133" hidden="1" customWidth="1"/>
    <col min="46" max="46" width="9.140625" style="133" hidden="1" customWidth="1"/>
    <col min="47" max="47" width="10.85546875" style="321" hidden="1" customWidth="1"/>
    <col min="48" max="49" width="12.28515625" style="321" hidden="1" customWidth="1"/>
    <col min="50" max="50" width="11" hidden="1" customWidth="1"/>
    <col min="51" max="53" width="6.140625" bestFit="1" customWidth="1"/>
    <col min="54" max="54" width="11" bestFit="1" customWidth="1"/>
    <col min="55" max="55" width="13.42578125" hidden="1" customWidth="1"/>
  </cols>
  <sheetData>
    <row r="1" spans="1:50" x14ac:dyDescent="0.2">
      <c r="A1" s="127" t="s">
        <v>454</v>
      </c>
      <c r="B1" s="128"/>
      <c r="C1" s="128"/>
      <c r="D1" s="129"/>
      <c r="E1" s="129"/>
      <c r="F1" s="129"/>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0"/>
      <c r="AK1" s="130"/>
      <c r="AL1" s="130"/>
      <c r="AM1" s="130"/>
      <c r="AN1" s="130"/>
      <c r="AO1" s="131"/>
      <c r="AP1" s="131"/>
      <c r="AR1" s="131"/>
    </row>
    <row r="2" spans="1:50" hidden="1" x14ac:dyDescent="0.2">
      <c r="A2" s="127"/>
      <c r="B2" s="134" t="s">
        <v>294</v>
      </c>
      <c r="C2" s="134"/>
      <c r="D2" s="135"/>
      <c r="E2" s="249" t="s">
        <v>427</v>
      </c>
      <c r="F2" s="249" t="s">
        <v>428</v>
      </c>
      <c r="G2" s="250"/>
      <c r="H2" s="250" t="s">
        <v>424</v>
      </c>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1" t="s">
        <v>425</v>
      </c>
      <c r="AP2" s="251" t="s">
        <v>426</v>
      </c>
      <c r="AR2" s="251" t="s">
        <v>426</v>
      </c>
    </row>
    <row r="3" spans="1:50" ht="72" x14ac:dyDescent="0.2">
      <c r="A3" s="136" t="s">
        <v>296</v>
      </c>
      <c r="B3" s="137" t="s">
        <v>298</v>
      </c>
      <c r="C3" s="137" t="s">
        <v>299</v>
      </c>
      <c r="D3" s="137" t="s">
        <v>300</v>
      </c>
      <c r="E3" s="137" t="s">
        <v>291</v>
      </c>
      <c r="F3" s="137" t="s">
        <v>292</v>
      </c>
      <c r="G3" s="139" t="s">
        <v>301</v>
      </c>
      <c r="H3" s="139" t="s">
        <v>615</v>
      </c>
      <c r="I3" s="139" t="s">
        <v>695</v>
      </c>
      <c r="J3" s="389" t="s">
        <v>589</v>
      </c>
      <c r="K3" s="389" t="s">
        <v>590</v>
      </c>
      <c r="L3" s="389" t="s">
        <v>591</v>
      </c>
      <c r="M3" s="389" t="s">
        <v>592</v>
      </c>
      <c r="N3" s="389" t="s">
        <v>593</v>
      </c>
      <c r="O3" s="389" t="s">
        <v>594</v>
      </c>
      <c r="P3" s="389" t="s">
        <v>595</v>
      </c>
      <c r="Q3" s="389" t="s">
        <v>596</v>
      </c>
      <c r="R3" s="389" t="s">
        <v>597</v>
      </c>
      <c r="S3" s="389" t="s">
        <v>598</v>
      </c>
      <c r="T3" s="389" t="s">
        <v>599</v>
      </c>
      <c r="U3" s="389" t="s">
        <v>600</v>
      </c>
      <c r="V3" s="389" t="s">
        <v>602</v>
      </c>
      <c r="W3" s="389" t="s">
        <v>603</v>
      </c>
      <c r="X3" s="389" t="s">
        <v>604</v>
      </c>
      <c r="Y3" s="389" t="s">
        <v>605</v>
      </c>
      <c r="Z3" s="389" t="s">
        <v>606</v>
      </c>
      <c r="AA3" s="389" t="s">
        <v>607</v>
      </c>
      <c r="AB3" s="389" t="s">
        <v>609</v>
      </c>
      <c r="AC3" s="389" t="s">
        <v>608</v>
      </c>
      <c r="AD3" s="389" t="s">
        <v>610</v>
      </c>
      <c r="AE3" s="389" t="s">
        <v>611</v>
      </c>
      <c r="AF3" s="389" t="s">
        <v>612</v>
      </c>
      <c r="AG3" s="389" t="s">
        <v>613</v>
      </c>
      <c r="AH3" s="389" t="s">
        <v>203</v>
      </c>
      <c r="AI3" s="389" t="s">
        <v>617</v>
      </c>
      <c r="AJ3" s="389" t="s">
        <v>220</v>
      </c>
      <c r="AK3" s="389" t="s">
        <v>618</v>
      </c>
      <c r="AL3" s="389" t="s">
        <v>619</v>
      </c>
      <c r="AM3" s="389" t="s">
        <v>620</v>
      </c>
      <c r="AN3" s="389" t="s">
        <v>621</v>
      </c>
      <c r="AO3" s="138" t="s">
        <v>429</v>
      </c>
      <c r="AP3" s="138" t="s">
        <v>412</v>
      </c>
      <c r="AQ3" s="140" t="s">
        <v>303</v>
      </c>
      <c r="AR3" s="253" t="s">
        <v>423</v>
      </c>
    </row>
    <row r="4" spans="1:50" s="132" customFormat="1" x14ac:dyDescent="0.2">
      <c r="A4" s="394"/>
      <c r="B4" s="395"/>
      <c r="C4" s="395"/>
      <c r="D4" s="395"/>
      <c r="E4" s="395"/>
      <c r="F4" s="395"/>
      <c r="G4" s="396"/>
      <c r="H4" s="396"/>
      <c r="I4" s="396"/>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8"/>
      <c r="AP4" s="398"/>
      <c r="AQ4" s="140"/>
      <c r="AR4" s="399"/>
      <c r="AS4" s="141"/>
      <c r="AT4" s="141"/>
      <c r="AU4" s="281"/>
      <c r="AV4" s="281"/>
      <c r="AW4" s="281"/>
    </row>
    <row r="5" spans="1:50" s="144" customFormat="1" x14ac:dyDescent="0.2">
      <c r="A5" s="142" t="s">
        <v>304</v>
      </c>
      <c r="B5" s="143">
        <f t="array" ref="B5">SUM(IF('2014-2017 Projects'!$AB$6:$AB$298="Own Funds",'2014-2017 Projects'!$AG$6:$AG$298,0))</f>
        <v>21878631.879999999</v>
      </c>
      <c r="C5" s="143">
        <f t="array" ref="C5">SUM(IF('2014-2017 Projects'!$AB$6:$AB$298="Own Funds",'2014-2017 Projects'!$AG$6:$AG$298,0))</f>
        <v>21878631.879999999</v>
      </c>
      <c r="D5" s="143">
        <f t="array" ref="D5">SUM(IF('2014-2017 Projects'!$AB$6:$AB$298="Own Funds",'2014-2017 Projects'!$AG$6:$AG$298,0))</f>
        <v>21878631.879999999</v>
      </c>
      <c r="E5" s="143">
        <f t="array" ref="E5">SUM(IF('2014-2017 Projects'!$AB$6:$AB$298="Own Funds",'2014-2017 Projects'!$AH$6:$AH$298,0))</f>
        <v>30084305</v>
      </c>
      <c r="F5" s="143">
        <f t="array" ref="F5">SUM(IF('2014-2017 Projects'!$AB$6:$AB$298="Own Funds",'2014-2017 Projects'!$AI$6:$AI$298,0))</f>
        <v>51962936.879999995</v>
      </c>
      <c r="G5" s="143"/>
      <c r="H5" s="143">
        <f t="array" ref="H5">SUM(IF('2014-2017 Projects'!$AB$6:$AB$257="Own Funds",'2014-2017 Projects'!$AK$6:$AK$257,0))</f>
        <v>241225697</v>
      </c>
      <c r="I5" s="143">
        <f t="array" ref="I5">SUM(IF('2014-2017 Projects'!$AB$6:$AB$257="Own Funds",'2014-2017 Projects'!$AM$6:$AM$257,0))</f>
        <v>276725697</v>
      </c>
      <c r="J5" s="143">
        <f t="array" ref="J5">SUM(IF('2014-2017 Projects'!$AB$6:$AB$257="Own Funds",'2014-2017 Projects'!$AN$6:$AN$257,0))</f>
        <v>20176.95</v>
      </c>
      <c r="K5" s="143">
        <f t="array" ref="K5">SUM(IF('2014-2017 Projects'!$AB$6:$AB$257="Own Funds",'2014-2017 Projects'!$AP$6:$AP$257,0))</f>
        <v>20176.95</v>
      </c>
      <c r="L5" s="143">
        <f t="array" ref="L5">SUM(IF('2014-2017 Projects'!$AB$6:$AB$257="Own Funds",'2014-2017 Projects'!$AQ$6:$AQ$257,0))</f>
        <v>5426887.9200000009</v>
      </c>
      <c r="M5" s="143">
        <f t="array" ref="M5">SUM(IF('2014-2017 Projects'!$AB$6:$AB$257="Own Funds",'2014-2017 Projects'!$AS$6:$AS$257,0))</f>
        <v>5426887.9200000009</v>
      </c>
      <c r="N5" s="143">
        <f t="array" ref="N5">SUM(IF('2014-2017 Projects'!$AB$6:$AB$257="Own Funds",'2014-2017 Projects'!$AT$6:$AT$257,0))</f>
        <v>16172829.339999996</v>
      </c>
      <c r="O5" s="143">
        <f t="array" ref="O5">SUM(IF('2014-2017 Projects'!$AB$6:$AB$257="Own Funds",'2014-2017 Projects'!$AV$6:$AV$257,0))</f>
        <v>16172829.339999996</v>
      </c>
      <c r="P5" s="143">
        <f t="array" ref="P5">SUM(IF('2014-2017 Projects'!$AB$6:$AB$257="Own Funds",'2014-2017 Projects'!$AW$6:$AW$257,0))</f>
        <v>16338247.16</v>
      </c>
      <c r="Q5" s="143">
        <f t="array" ref="Q5">SUM(IF('2014-2017 Projects'!$AB$6:$AB$257="Own Funds",'2014-2017 Projects'!$AY$6:$AY$257,0))</f>
        <v>16338247.16</v>
      </c>
      <c r="R5" s="143"/>
      <c r="S5" s="143"/>
      <c r="T5" s="143"/>
      <c r="U5" s="143"/>
      <c r="V5" s="143"/>
      <c r="W5" s="143"/>
      <c r="X5" s="143"/>
      <c r="Y5" s="143"/>
      <c r="Z5" s="143"/>
      <c r="AA5" s="143"/>
      <c r="AB5" s="143"/>
      <c r="AC5" s="143"/>
      <c r="AD5" s="143"/>
      <c r="AE5" s="143"/>
      <c r="AF5" s="143"/>
      <c r="AG5" s="143"/>
      <c r="AH5" s="143">
        <f t="array" ref="AH5">SUM(IF('2014-2017 Projects'!$AB$6:$AB$257="Own Funds",'2014-2017 Projects'!$BY$6:$BY$257,0))</f>
        <v>37958141.369999997</v>
      </c>
      <c r="AI5" s="143">
        <f t="array" ref="AI5">SUM(IF('2014-2017 Projects'!$AB$6:$AB$257="Own Funds",'2014-2017 Projects'!$BZ$6:$BZ$257,0))</f>
        <v>37958141.369999997</v>
      </c>
      <c r="AJ5" s="143">
        <f t="array" ref="AJ5">SUM(IF('2014-2017 Projects'!$AB$6:$AB$257="Own Funds",'2014-2017 Projects'!$BX$6:$BX$257,0))</f>
        <v>43078792.110000007</v>
      </c>
      <c r="AK5" s="143">
        <f>I5-AH5</f>
        <v>238767555.63</v>
      </c>
      <c r="AL5" s="143">
        <f>I5-AI5</f>
        <v>238767555.63</v>
      </c>
      <c r="AM5" s="390">
        <f>AH5/I5</f>
        <v>0.13716883463121243</v>
      </c>
      <c r="AN5" s="390">
        <f>AI5/I5</f>
        <v>0.13716883463121243</v>
      </c>
      <c r="AO5" s="143">
        <f t="array" ref="AO5">SUM(IF('2014-2017 Projects'!$AB$6:$AB$257="Own Funds",'2014-2017 Projects'!$CG$6:$CG$257,0))</f>
        <v>256870661</v>
      </c>
      <c r="AP5" s="143">
        <f t="array" ref="AP5">SUM(IF('2014-2017 Projects'!$AB$6:$AB$257="Own Funds",'2014-2017 Projects'!$CH$6:$CH$257,0))</f>
        <v>270555051</v>
      </c>
      <c r="AQ5" s="144" t="s">
        <v>305</v>
      </c>
      <c r="AR5" s="254"/>
      <c r="AS5" s="141"/>
      <c r="AT5" s="141" t="s">
        <v>8</v>
      </c>
      <c r="AU5" s="281">
        <v>255845288</v>
      </c>
      <c r="AV5" s="281">
        <v>261320661</v>
      </c>
      <c r="AW5" s="281">
        <v>276905051</v>
      </c>
    </row>
    <row r="6" spans="1:50" s="144" customFormat="1" x14ac:dyDescent="0.2">
      <c r="A6" s="142" t="s">
        <v>697</v>
      </c>
      <c r="B6" s="148"/>
      <c r="C6" s="148"/>
      <c r="D6" s="148"/>
      <c r="E6" s="148"/>
      <c r="F6" s="148"/>
      <c r="G6" s="148"/>
      <c r="H6" s="143">
        <f t="array" ref="H6">SUM(IF('2014-2017 Projects'!$AB$6:$AB$257="Own Funds c/o",'2014-2017 Projects'!$AK$6:$AK$257,0))</f>
        <v>0</v>
      </c>
      <c r="I6" s="143">
        <f t="array" ref="I6">SUM(IF('2014-2017 Projects'!$AB$6:$AB$257="Own Funds c/o",'2014-2017 Projects'!$AM$6:$AM$257,0))</f>
        <v>55139872</v>
      </c>
      <c r="J6" s="148"/>
      <c r="K6" s="148"/>
      <c r="L6" s="143">
        <f t="array" ref="L6">SUM(IF('2014-2017 Projects'!$AB$6:$AB$257="Own Funds c/o",'2014-2017 Projects'!$AQ$6:$AQ$257,0))</f>
        <v>0</v>
      </c>
      <c r="M6" s="143">
        <f t="array" ref="M6">SUM(IF('2014-2017 Projects'!$AB$6:$AB$257="Own Funds c/o",'2014-2017 Projects'!$AS$6:$AS$257,0))</f>
        <v>0</v>
      </c>
      <c r="N6" s="143">
        <f t="array" ref="N6">SUM(IF('2014-2017 Projects'!$AB$6:$AB$257="Own Funds c/o",'2014-2017 Projects'!$AT$6:$AT$257,0))</f>
        <v>4223929.01</v>
      </c>
      <c r="O6" s="143">
        <f t="array" ref="O6">SUM(IF('2014-2017 Projects'!$AB$6:$AB$257="Own Funds c/o",'2014-2017 Projects'!$AV$6:$AV$257,0))</f>
        <v>4223929.01</v>
      </c>
      <c r="P6" s="143">
        <f t="array" ref="P6">SUM(IF('2014-2017 Projects'!$AB$6:$AB$257="Own Funds c/o",'2014-2017 Projects'!$AW$6:$AW$257,0))</f>
        <v>669236.82000000007</v>
      </c>
      <c r="Q6" s="143">
        <f t="array" ref="Q6">SUM(IF('2014-2017 Projects'!$AB$6:$AB$257="Own Funds c/o",'2014-2017 Projects'!$AY$6:$AY$257,0))</f>
        <v>669236.82000000007</v>
      </c>
      <c r="R6" s="148"/>
      <c r="S6" s="148"/>
      <c r="T6" s="148"/>
      <c r="U6" s="148"/>
      <c r="V6" s="148"/>
      <c r="W6" s="148"/>
      <c r="X6" s="148"/>
      <c r="Y6" s="148"/>
      <c r="Z6" s="148"/>
      <c r="AA6" s="148"/>
      <c r="AB6" s="148"/>
      <c r="AC6" s="148"/>
      <c r="AD6" s="148"/>
      <c r="AE6" s="148"/>
      <c r="AF6" s="148"/>
      <c r="AG6" s="148"/>
      <c r="AH6" s="143">
        <f t="array" ref="AH6">SUM(IF('2014-2017 Projects'!$AB$6:$AB$257="Own Funds c/o",'2014-2017 Projects'!$BY$6:$BY$257,0))</f>
        <v>4893165.83</v>
      </c>
      <c r="AI6" s="143">
        <f t="array" ref="AI6">SUM(IF('2014-2017 Projects'!$AB$6:$AB$257="Own Funds c/o",'2014-2017 Projects'!$BZ$6:$BZ$257,0))</f>
        <v>4893165.83</v>
      </c>
      <c r="AJ6" s="143">
        <f t="array" ref="AJ6">SUM(IF('2014-2017 Projects'!$AB$6:$AB$257="Own Funds c/o",'2014-2017 Projects'!$BX$6:$BX$257,0))</f>
        <v>4066974.44</v>
      </c>
      <c r="AK6" s="143">
        <f>I6-AH6</f>
        <v>50246706.170000002</v>
      </c>
      <c r="AL6" s="143">
        <f>I6-AI6</f>
        <v>50246706.170000002</v>
      </c>
      <c r="AM6" s="390">
        <f t="shared" ref="AM6:AM21" si="0">AH6/I6</f>
        <v>8.8740971868777649E-2</v>
      </c>
      <c r="AN6" s="390">
        <f t="shared" ref="AN6:AN21" si="1">AI6/I6</f>
        <v>8.8740971868777649E-2</v>
      </c>
      <c r="AO6" s="148"/>
      <c r="AP6" s="148"/>
      <c r="AR6" s="256"/>
      <c r="AS6" s="141"/>
      <c r="AT6" s="141"/>
      <c r="AU6" s="281"/>
      <c r="AV6" s="281"/>
      <c r="AW6" s="281"/>
    </row>
    <row r="7" spans="1:50" s="144" customFormat="1" ht="13.5" thickBot="1" x14ac:dyDescent="0.25">
      <c r="A7" s="145" t="s">
        <v>306</v>
      </c>
      <c r="B7" s="146"/>
      <c r="C7" s="146"/>
      <c r="D7" s="146">
        <f t="shared" ref="D7:AP7" si="2">SUM(D5:D5)</f>
        <v>21878631.879999999</v>
      </c>
      <c r="E7" s="146">
        <f t="shared" si="2"/>
        <v>30084305</v>
      </c>
      <c r="F7" s="146">
        <f t="shared" si="2"/>
        <v>51962936.879999995</v>
      </c>
      <c r="G7" s="146">
        <f t="shared" si="2"/>
        <v>0</v>
      </c>
      <c r="H7" s="146">
        <f>SUM(H5:H6)</f>
        <v>241225697</v>
      </c>
      <c r="I7" s="146">
        <f t="shared" ref="I7:AL7" si="3">SUM(I5:I6)</f>
        <v>331865569</v>
      </c>
      <c r="J7" s="146">
        <f t="shared" si="3"/>
        <v>20176.95</v>
      </c>
      <c r="K7" s="146">
        <f t="shared" si="3"/>
        <v>20176.95</v>
      </c>
      <c r="L7" s="146">
        <f t="shared" si="3"/>
        <v>5426887.9200000009</v>
      </c>
      <c r="M7" s="146">
        <f t="shared" si="3"/>
        <v>5426887.9200000009</v>
      </c>
      <c r="N7" s="146">
        <f t="shared" si="3"/>
        <v>20396758.349999994</v>
      </c>
      <c r="O7" s="146">
        <f t="shared" si="3"/>
        <v>20396758.349999994</v>
      </c>
      <c r="P7" s="146">
        <f t="shared" si="3"/>
        <v>17007483.98</v>
      </c>
      <c r="Q7" s="146">
        <f t="shared" si="3"/>
        <v>17007483.98</v>
      </c>
      <c r="R7" s="146">
        <f t="shared" si="3"/>
        <v>0</v>
      </c>
      <c r="S7" s="146">
        <f t="shared" si="3"/>
        <v>0</v>
      </c>
      <c r="T7" s="146">
        <f t="shared" si="3"/>
        <v>0</v>
      </c>
      <c r="U7" s="146">
        <f t="shared" si="3"/>
        <v>0</v>
      </c>
      <c r="V7" s="146">
        <f t="shared" si="3"/>
        <v>0</v>
      </c>
      <c r="W7" s="146">
        <f t="shared" si="3"/>
        <v>0</v>
      </c>
      <c r="X7" s="146">
        <f t="shared" si="3"/>
        <v>0</v>
      </c>
      <c r="Y7" s="146">
        <f t="shared" si="3"/>
        <v>0</v>
      </c>
      <c r="Z7" s="146">
        <f t="shared" si="3"/>
        <v>0</v>
      </c>
      <c r="AA7" s="146">
        <f t="shared" si="3"/>
        <v>0</v>
      </c>
      <c r="AB7" s="146">
        <f t="shared" si="3"/>
        <v>0</v>
      </c>
      <c r="AC7" s="146">
        <f t="shared" si="3"/>
        <v>0</v>
      </c>
      <c r="AD7" s="146">
        <f t="shared" si="3"/>
        <v>0</v>
      </c>
      <c r="AE7" s="146">
        <f t="shared" si="3"/>
        <v>0</v>
      </c>
      <c r="AF7" s="146">
        <f t="shared" si="3"/>
        <v>0</v>
      </c>
      <c r="AG7" s="146">
        <f t="shared" si="3"/>
        <v>0</v>
      </c>
      <c r="AH7" s="146">
        <f t="shared" si="3"/>
        <v>42851307.199999996</v>
      </c>
      <c r="AI7" s="146">
        <f t="shared" si="3"/>
        <v>42851307.199999996</v>
      </c>
      <c r="AJ7" s="146">
        <f t="shared" si="3"/>
        <v>47145766.550000004</v>
      </c>
      <c r="AK7" s="146">
        <f t="shared" si="3"/>
        <v>289014261.80000001</v>
      </c>
      <c r="AL7" s="146">
        <f t="shared" si="3"/>
        <v>289014261.80000001</v>
      </c>
      <c r="AM7" s="392">
        <f t="shared" si="0"/>
        <v>0.12912248573759091</v>
      </c>
      <c r="AN7" s="392">
        <f t="shared" si="1"/>
        <v>0.12912248573759091</v>
      </c>
      <c r="AO7" s="146">
        <f t="shared" si="2"/>
        <v>256870661</v>
      </c>
      <c r="AP7" s="146">
        <f t="shared" si="2"/>
        <v>270555051</v>
      </c>
      <c r="AR7" s="255"/>
      <c r="AS7" s="141"/>
      <c r="AT7" s="141"/>
      <c r="AU7" s="333">
        <f>+H5-AU5</f>
        <v>-14619591</v>
      </c>
      <c r="AV7" s="333">
        <f>+AO5-AV5</f>
        <v>-4450000</v>
      </c>
      <c r="AW7" s="333">
        <f>+AP5-AW5</f>
        <v>-6350000</v>
      </c>
    </row>
    <row r="8" spans="1:50" s="144" customFormat="1" ht="13.5" thickTop="1" x14ac:dyDescent="0.2">
      <c r="A8" s="142" t="s">
        <v>16</v>
      </c>
      <c r="B8" s="148">
        <f t="array" ref="B8">SUM(IF('2014-2017 Projects'!$AB$6:$AB$298="DoE(Intergrated National Electrification Programme)",'2014-2017 Projects'!$AG$6:$AG$298,0))</f>
        <v>0</v>
      </c>
      <c r="C8" s="148">
        <f t="array" ref="C8">SUM(IF('2014-2017 Projects'!$AB$6:$AB$298="DoE(Intergrated National Electrification Programme)",'2014-2017 Projects'!$AG$6:$AG$298,0))</f>
        <v>0</v>
      </c>
      <c r="D8" s="148">
        <f t="array" ref="D8">SUM(IF('2014-2017 Projects'!$AB$6:$AB$298="DoE(Intergrated National Electrification Programme)",'2014-2017 Projects'!$AG$6:$AG$298,0))</f>
        <v>0</v>
      </c>
      <c r="E8" s="148">
        <f t="array" ref="E8">SUM(IF('2014-2017 Projects'!$AB$6:$AB$298="DoE(Intergrated National Electrification Programme)",'2014-2017 Projects'!$AH$6:$AH$298,0))</f>
        <v>0</v>
      </c>
      <c r="F8" s="148">
        <f t="array" ref="F8">SUM(IF('2014-2017 Projects'!$AB$6:$AB$298="DoE(Intergrated National Electrification Programme)",'2014-2017 Projects'!$AI$6:$AI$298,0))</f>
        <v>0</v>
      </c>
      <c r="G8" s="148"/>
      <c r="H8" s="148">
        <f t="array" ref="H8">SUM(IF('2014-2017 Projects'!$AB$6:$AB$257="DoE(Intergrated National Electrification Programme)",'2014-2017 Projects'!$AK$6:$AK$257,0))</f>
        <v>27000000</v>
      </c>
      <c r="I8" s="148">
        <f t="array" ref="I8">SUM(IF('2014-2017 Projects'!$AB$6:$AB$257="DoE(Intergrated National Electrification Programme)",'2014-2017 Projects'!$AM$6:$AM$257,0))</f>
        <v>27000000</v>
      </c>
      <c r="J8" s="148">
        <f t="array" ref="J8">SUM(IF('2014-2017 Projects'!$AB$6:$AB$257="DoE(Intergrated National Electrification Programme)",'2014-2017 Projects'!$AN$6:$AN$257,0))</f>
        <v>34346</v>
      </c>
      <c r="K8" s="148">
        <f t="array" ref="K8">SUM(IF('2014-2017 Projects'!$AB$6:$AB$257="DoE(Intergrated National Electrification Programme)",'2014-2017 Projects'!$AP$6:$AP$257,0))</f>
        <v>34346</v>
      </c>
      <c r="L8" s="148">
        <f t="array" ref="L8">SUM(IF('2014-2017 Projects'!$AB$6:$AB$257="DoE(Intergrated National Electrification Programme)",'2014-2017 Projects'!$AQ$6:$AQ$257,0))</f>
        <v>128806.07</v>
      </c>
      <c r="M8" s="148">
        <f t="array" ref="M8">SUM(IF('2014-2017 Projects'!$AB$6:$AB$257="DoE(Intergrated National Electrification Programme)",'2014-2017 Projects'!$AS$6:$AS$257,0))</f>
        <v>128806.07</v>
      </c>
      <c r="N8" s="148">
        <f t="array" ref="N8">SUM(IF('2014-2017 Projects'!$AB$6:$AB$257="DoE(Intergrated National Electrification Programme)",'2014-2017 Projects'!$AT$6:$AT$257,0))</f>
        <v>2895383.81</v>
      </c>
      <c r="O8" s="148">
        <f t="array" ref="O8">SUM(IF('2014-2017 Projects'!$AB$6:$AB$257="DoE(Intergrated National Electrification Programme)",'2014-2017 Projects'!$AV$6:$AV$257,0))</f>
        <v>3318770.39</v>
      </c>
      <c r="P8" s="148">
        <f t="array" ref="P8">SUM(IF('2014-2017 Projects'!$AB$6:$AB$257="DoE(Intergrated National Electrification Programme)",'2014-2017 Projects'!$AW$6:$AW$257,0))</f>
        <v>9399037.3699999992</v>
      </c>
      <c r="Q8" s="148">
        <f t="array" ref="Q8">SUM(IF('2014-2017 Projects'!$AB$6:$AB$257="DoE(Intergrated National Electrification Programme)",'2014-2017 Projects'!$AY$6:$AY$257,0))</f>
        <v>10101331.629999999</v>
      </c>
      <c r="R8" s="148"/>
      <c r="S8" s="148"/>
      <c r="T8" s="148"/>
      <c r="U8" s="148"/>
      <c r="V8" s="148"/>
      <c r="W8" s="148"/>
      <c r="X8" s="148"/>
      <c r="Y8" s="148"/>
      <c r="Z8" s="148"/>
      <c r="AA8" s="148"/>
      <c r="AB8" s="148"/>
      <c r="AC8" s="148"/>
      <c r="AD8" s="148"/>
      <c r="AE8" s="148"/>
      <c r="AF8" s="148"/>
      <c r="AG8" s="148"/>
      <c r="AH8" s="148">
        <f t="array" ref="AH8">SUM(IF('2014-2017 Projects'!$AB$6:$AB$257="DoE(Intergrated National Electrification Programme)",'2014-2017 Projects'!$BY$6:$BY$257,0))</f>
        <v>12457573.25</v>
      </c>
      <c r="AI8" s="148">
        <f t="array" ref="AI8">SUM(IF('2014-2017 Projects'!$AB$6:$AB$257="DoE(Intergrated National Electrification Programme)",'2014-2017 Projects'!$BZ$6:$BZ$257,0))</f>
        <v>13583254.09</v>
      </c>
      <c r="AJ8" s="148">
        <f t="array" ref="AJ8">SUM(IF('2014-2017 Projects'!$AB$6:$AB$257="DoE(Intergrated National Electrification Programme)",'2014-2017 Projects'!$BX$6:$BX$257,0))</f>
        <v>2513334.1</v>
      </c>
      <c r="AK8" s="143">
        <f t="shared" ref="AK8:AK18" si="4">I8-AH8</f>
        <v>14542426.75</v>
      </c>
      <c r="AL8" s="143">
        <f t="shared" ref="AL8:AL18" si="5">I8-AI8</f>
        <v>13416745.91</v>
      </c>
      <c r="AM8" s="391">
        <f t="shared" si="0"/>
        <v>0.46139160185185185</v>
      </c>
      <c r="AN8" s="391">
        <f t="shared" si="1"/>
        <v>0.5030834848148148</v>
      </c>
      <c r="AO8" s="148">
        <f t="array" ref="AO8">SUM(IF('2014-2017 Projects'!$AB$6:$AB$257="DoE(Intergrated National Electrification Programme)",'2014-2017 Projects'!$CG$6:$CG$257,0))</f>
        <v>27000000</v>
      </c>
      <c r="AP8" s="148">
        <f t="array" ref="AP8">SUM(IF('2014-2017 Projects'!$AB$6:$AB$257="DoE(Intergrated National Electrification Programme)",'2014-2017 Projects'!$CH$6:$CH$257,0))</f>
        <v>12000000</v>
      </c>
      <c r="AQ8" s="144" t="s">
        <v>295</v>
      </c>
      <c r="AR8" s="256"/>
      <c r="AS8" s="141"/>
      <c r="AT8" s="141" t="s">
        <v>295</v>
      </c>
      <c r="AU8" s="281"/>
      <c r="AV8" s="281"/>
      <c r="AW8" s="281"/>
    </row>
    <row r="9" spans="1:50" s="144" customFormat="1" x14ac:dyDescent="0.2">
      <c r="A9" s="142" t="s">
        <v>728</v>
      </c>
      <c r="B9" s="148"/>
      <c r="C9" s="148"/>
      <c r="D9" s="148"/>
      <c r="E9" s="148"/>
      <c r="F9" s="148"/>
      <c r="G9" s="148"/>
      <c r="H9" s="148"/>
      <c r="I9" s="143">
        <f t="array" ref="I9">SUM(IF('2014-2017 Projects'!$AB$6:$AB$257="DSRAC c/o",'2014-2017 Projects'!$AM$6:$AM$257,0))</f>
        <v>2686285</v>
      </c>
      <c r="J9" s="148"/>
      <c r="K9" s="148"/>
      <c r="L9" s="143">
        <f t="array" ref="L9">SUM(IF('2014-2017 Projects'!$AB$6:$AB$257="DSRAC c/o",'2014-2017 Projects'!$AQ$6:$AQ$257,0))</f>
        <v>0</v>
      </c>
      <c r="M9" s="143">
        <f t="array" ref="M9">SUM(IF('2014-2017 Projects'!$AB$6:$AB$257="DSRAC c/o",'2014-2017 Projects'!$AS$6:$AS$257,0))</f>
        <v>0</v>
      </c>
      <c r="N9" s="143">
        <f t="array" ref="N9">SUM(IF('2014-2017 Projects'!$AB$6:$AB$257="DSRAC c/o",'2014-2017 Projects'!$AT$6:$AT$257,0))</f>
        <v>180000</v>
      </c>
      <c r="O9" s="143">
        <f t="array" ref="O9">SUM(IF('2014-2017 Projects'!$AB$6:$AB$257="DSRAC c/o",'2014-2017 Projects'!$AV$6:$AV$257,0))</f>
        <v>180000</v>
      </c>
      <c r="P9" s="143">
        <f t="array" ref="P9">SUM(IF('2014-2017 Projects'!$AB$6:$AB$257="DSRAC c/o",'2014-2017 Projects'!$AW$6:$AW$257,0))</f>
        <v>68800</v>
      </c>
      <c r="Q9" s="143">
        <f t="array" ref="Q9">SUM(IF('2014-2017 Projects'!$AB$6:$AB$257="DSRAC c/o",'2014-2017 Projects'!$AY$6:$AY$257,0))</f>
        <v>68800</v>
      </c>
      <c r="R9" s="148"/>
      <c r="S9" s="148"/>
      <c r="T9" s="148"/>
      <c r="U9" s="148"/>
      <c r="V9" s="148"/>
      <c r="W9" s="148"/>
      <c r="X9" s="148"/>
      <c r="Y9" s="148"/>
      <c r="Z9" s="148"/>
      <c r="AA9" s="148"/>
      <c r="AB9" s="148"/>
      <c r="AC9" s="148"/>
      <c r="AD9" s="148"/>
      <c r="AE9" s="148"/>
      <c r="AF9" s="148"/>
      <c r="AG9" s="148"/>
      <c r="AH9" s="143">
        <f t="array" ref="AH9">SUM(IF('2014-2017 Projects'!$AB$6:$AB$257="DSRAC c/o",'2014-2017 Projects'!$BY$6:$BY$257,0))</f>
        <v>248800</v>
      </c>
      <c r="AI9" s="143">
        <f t="array" ref="AI9">SUM(IF('2014-2017 Projects'!$AB$6:$AB$257="DSRAC c/o",'2014-2017 Projects'!$BZ$6:$BZ$257,0))</f>
        <v>248800</v>
      </c>
      <c r="AJ9" s="143">
        <f t="array" ref="AJ9">SUM(IF('2014-2017 Projects'!$AB$6:$AB$257="DSRAC c/o",'2014-2017 Projects'!$BX$6:$BX$257,0))</f>
        <v>260100</v>
      </c>
      <c r="AK9" s="143">
        <f t="shared" si="4"/>
        <v>2437485</v>
      </c>
      <c r="AL9" s="143">
        <f t="shared" si="5"/>
        <v>2437485</v>
      </c>
      <c r="AM9" s="390">
        <f t="shared" si="0"/>
        <v>9.2618616416351954E-2</v>
      </c>
      <c r="AN9" s="390">
        <f t="shared" si="1"/>
        <v>9.2618616416351954E-2</v>
      </c>
      <c r="AO9" s="148"/>
      <c r="AP9" s="148"/>
      <c r="AQ9" s="144" t="s">
        <v>311</v>
      </c>
      <c r="AR9" s="256"/>
      <c r="AS9" s="141"/>
      <c r="AT9" s="141"/>
      <c r="AU9" s="281"/>
      <c r="AV9" s="281"/>
      <c r="AW9" s="281"/>
    </row>
    <row r="10" spans="1:50" s="144" customFormat="1" x14ac:dyDescent="0.2">
      <c r="A10" s="142" t="s">
        <v>566</v>
      </c>
      <c r="B10" s="148"/>
      <c r="C10" s="148"/>
      <c r="D10" s="148"/>
      <c r="E10" s="148"/>
      <c r="F10" s="148"/>
      <c r="G10" s="148"/>
      <c r="H10" s="143">
        <f t="array" ref="H10">SUM(IF('2014-2017 Projects'!$AB$6:$AB$257="LGTH",'2014-2017 Projects'!$AK$6:$AK$257,0))</f>
        <v>188726</v>
      </c>
      <c r="I10" s="143">
        <f t="array" ref="I10">SUM(IF('2014-2017 Projects'!$AB$6:$AB$257="LGTH",'2014-2017 Projects'!$AM$6:$AM$257,0))</f>
        <v>188726</v>
      </c>
      <c r="J10" s="143">
        <f t="array" ref="J10">SUM(IF('2014-2017 Projects'!$AB$6:$AB$257="LGTH",'2014-2017 Projects'!$AN$6:$AN$257,0))</f>
        <v>0</v>
      </c>
      <c r="K10" s="143">
        <f t="array" ref="K10">SUM(IF('2014-2017 Projects'!$AB$6:$AB$257="LGTH",'2014-2017 Projects'!$AP$6:$AP$257,0))</f>
        <v>0</v>
      </c>
      <c r="L10" s="143">
        <f t="array" ref="L10">SUM(IF('2014-2017 Projects'!$AB$6:$AB$257="LGTH",'2014-2017 Projects'!$AQ$6:$AQ$257,0))</f>
        <v>0</v>
      </c>
      <c r="M10" s="143">
        <f t="array" ref="M10">SUM(IF('2014-2017 Projects'!$AB$6:$AB$257="LGTH",'2014-2017 Projects'!$AS$6:$AS$257,0))</f>
        <v>0</v>
      </c>
      <c r="N10" s="143">
        <f t="array" ref="N10">SUM(IF('2014-2017 Projects'!$AB$6:$AB$257="LGTH",'2014-2017 Projects'!$AT$6:$AT$257,0))</f>
        <v>178585.49</v>
      </c>
      <c r="O10" s="143">
        <f t="array" ref="O10">SUM(IF('2014-2017 Projects'!$AB$6:$AB$257="LGTH",'2014-2017 Projects'!$AV$6:$AV$257,0))</f>
        <v>178585.49</v>
      </c>
      <c r="P10" s="143">
        <f t="array" ref="P10">SUM(IF('2014-2017 Projects'!$AB$6:$AB$257="LGTH",'2014-2017 Projects'!$AW$6:$AW$257,0))</f>
        <v>0</v>
      </c>
      <c r="Q10" s="143">
        <f t="array" ref="Q10">SUM(IF('2014-2017 Projects'!$AB$6:$AB$257="LGTH",'2014-2017 Projects'!$AY$6:$AY$257,0))</f>
        <v>0</v>
      </c>
      <c r="R10" s="143"/>
      <c r="S10" s="143"/>
      <c r="T10" s="143"/>
      <c r="U10" s="143"/>
      <c r="V10" s="143"/>
      <c r="W10" s="143"/>
      <c r="X10" s="143"/>
      <c r="Y10" s="143"/>
      <c r="Z10" s="143"/>
      <c r="AA10" s="143"/>
      <c r="AB10" s="143"/>
      <c r="AC10" s="143"/>
      <c r="AD10" s="143"/>
      <c r="AE10" s="143"/>
      <c r="AF10" s="143"/>
      <c r="AG10" s="143"/>
      <c r="AH10" s="143">
        <f t="array" ref="AH10">SUM(IF('2014-2017 Projects'!$AB$6:$AB$257="LGTH",'2014-2017 Projects'!$BY$6:$BY$257,0))</f>
        <v>178585.49</v>
      </c>
      <c r="AI10" s="143">
        <f t="array" ref="AI10">SUM(IF('2014-2017 Projects'!$AB$6:$AB$257="LGTH",'2014-2017 Projects'!$BZ$6:$BZ$257,0))</f>
        <v>178585.49</v>
      </c>
      <c r="AJ10" s="143">
        <f t="array" ref="AJ10">SUM(IF('2014-2017 Projects'!$AB$6:$AB$257="LGTH",'2014-2017 Projects'!$BX$6:$BX$257,0))</f>
        <v>0</v>
      </c>
      <c r="AK10" s="143">
        <f t="shared" si="4"/>
        <v>10140.510000000009</v>
      </c>
      <c r="AL10" s="143">
        <f t="shared" si="5"/>
        <v>10140.510000000009</v>
      </c>
      <c r="AM10" s="390">
        <f t="shared" si="0"/>
        <v>0.94626861163803599</v>
      </c>
      <c r="AN10" s="390">
        <f t="shared" si="1"/>
        <v>0.94626861163803599</v>
      </c>
      <c r="AO10" s="143">
        <f t="array" ref="AO10">SUM(IF('2014-2017 Projects'!$AB$6:$AB$257="LGTH",'2014-2017 Projects'!$CG$6:$CG$257,0))</f>
        <v>0</v>
      </c>
      <c r="AP10" s="143">
        <f t="array" ref="AP10">SUM(IF('2014-2017 Projects'!$AB$6:$AB$257="LGTH",'2014-2017 Projects'!$CH$6:$CH$257,0))</f>
        <v>0</v>
      </c>
      <c r="AQ10" s="144" t="s">
        <v>311</v>
      </c>
      <c r="AR10" s="256"/>
      <c r="AS10" s="141"/>
      <c r="AT10" s="141" t="s">
        <v>311</v>
      </c>
      <c r="AU10" s="281"/>
      <c r="AV10" s="281"/>
      <c r="AW10" s="281"/>
    </row>
    <row r="11" spans="1:50" s="144" customFormat="1" x14ac:dyDescent="0.2">
      <c r="A11" s="142" t="s">
        <v>307</v>
      </c>
      <c r="B11" s="143">
        <f t="array" ref="B11">SUM(IF('2014-2017 Projects'!$AB$6:$AB$298="ISDG",'2014-2017 Projects'!$AG$6:$AG$298,0))</f>
        <v>100000</v>
      </c>
      <c r="C11" s="143">
        <f t="array" ref="C11">SUM(IF('2014-2017 Projects'!$AB$6:$AB$298="ISDG",'2014-2017 Projects'!$AG$6:$AG$298,0))</f>
        <v>100000</v>
      </c>
      <c r="D11" s="143">
        <f t="array" ref="D11">SUM(IF('2014-2017 Projects'!$AB$6:$AB$298="ISDG",'2014-2017 Projects'!$AG$6:$AG$298,0))</f>
        <v>100000</v>
      </c>
      <c r="E11" s="143">
        <f t="array" ref="E11">SUM(IF('2014-2017 Projects'!$AB$6:$AB$298="ISDG",'2014-2017 Projects'!$AH$6:$AH$298,0))</f>
        <v>0</v>
      </c>
      <c r="F11" s="143">
        <f t="array" ref="F11">SUM(IF('2014-2017 Projects'!$AB$6:$AB$298="ISDG",'2014-2017 Projects'!$AI$6:$AI$298,0))</f>
        <v>100000</v>
      </c>
      <c r="G11" s="143"/>
      <c r="H11" s="143">
        <f t="array" ref="H11">SUM(IF('2014-2017 Projects'!$AB$6:$AB$257="ISDG",'2014-2017 Projects'!$AK$6:$AK$257,0))</f>
        <v>100000</v>
      </c>
      <c r="I11" s="143">
        <f t="array" ref="I11">SUM(IF('2014-2017 Projects'!$AB$6:$AB$257="ISDG",'2014-2017 Projects'!$AM$6:$AM$257,0))</f>
        <v>100000</v>
      </c>
      <c r="J11" s="143">
        <f t="array" ref="J11">SUM(IF('2014-2017 Projects'!$AB$6:$AB$257="ISDG",'2014-2017 Projects'!$AN$6:$AN$257,0))</f>
        <v>0</v>
      </c>
      <c r="K11" s="143">
        <f t="array" ref="K11">SUM(IF('2014-2017 Projects'!$AB$6:$AB$257="ISDG",'2014-2017 Projects'!$AP$6:$AP$257,0))</f>
        <v>0</v>
      </c>
      <c r="L11" s="143">
        <f t="array" ref="L11">SUM(IF('2014-2017 Projects'!$AB$6:$AB$257="ISDG",'2014-2017 Projects'!$AQ$6:$AQ$257,0))</f>
        <v>0</v>
      </c>
      <c r="M11" s="143">
        <f t="array" ref="M11">SUM(IF('2014-2017 Projects'!$AB$6:$AB$257="ISDG",'2014-2017 Projects'!$AS$6:$AS$257,0))</f>
        <v>0</v>
      </c>
      <c r="N11" s="143">
        <f t="array" ref="N11">SUM(IF('2014-2017 Projects'!$AB$6:$AB$257="ISDG",'2014-2017 Projects'!$AT$6:$AT$257,0))</f>
        <v>0</v>
      </c>
      <c r="O11" s="143">
        <f t="array" ref="O11">SUM(IF('2014-2017 Projects'!$AB$6:$AB$257="ISDG",'2014-2017 Projects'!$AV$6:$AV$257,0))</f>
        <v>0</v>
      </c>
      <c r="P11" s="143">
        <f t="array" ref="P11">SUM(IF('2014-2017 Projects'!$AB$6:$AB$257="ISDG",'2014-2017 Projects'!$AW$6:$AW$257,0))</f>
        <v>0</v>
      </c>
      <c r="Q11" s="143">
        <f t="array" ref="Q11">SUM(IF('2014-2017 Projects'!$AB$6:$AB$257="ISDG",'2014-2017 Projects'!$AY$6:$AY$257,0))</f>
        <v>0</v>
      </c>
      <c r="R11" s="143"/>
      <c r="S11" s="143"/>
      <c r="T11" s="143"/>
      <c r="U11" s="143"/>
      <c r="V11" s="143"/>
      <c r="W11" s="143"/>
      <c r="X11" s="143"/>
      <c r="Y11" s="143"/>
      <c r="Z11" s="143"/>
      <c r="AA11" s="143"/>
      <c r="AB11" s="143"/>
      <c r="AC11" s="143"/>
      <c r="AD11" s="143"/>
      <c r="AE11" s="143"/>
      <c r="AF11" s="143"/>
      <c r="AG11" s="143"/>
      <c r="AH11" s="143">
        <f t="array" ref="AH11">SUM(IF('2014-2017 Projects'!$AB$6:$AB$257="ISDG",'2014-2017 Projects'!$BY$6:$BY$257,0))</f>
        <v>0</v>
      </c>
      <c r="AI11" s="143">
        <f t="array" ref="AI11">SUM(IF('2014-2017 Projects'!$AB$6:$AB$257="ISDG",'2014-2017 Projects'!$BZ$6:$BZ$257,0))</f>
        <v>0</v>
      </c>
      <c r="AJ11" s="143">
        <f t="array" ref="AJ11">SUM(IF('2014-2017 Projects'!$AB$6:$AB$257="ISDG",'2014-2017 Projects'!$BX$6:$BX$257,0))</f>
        <v>0</v>
      </c>
      <c r="AK11" s="143">
        <f t="shared" si="4"/>
        <v>100000</v>
      </c>
      <c r="AL11" s="143">
        <f t="shared" si="5"/>
        <v>100000</v>
      </c>
      <c r="AM11" s="390">
        <f t="shared" si="0"/>
        <v>0</v>
      </c>
      <c r="AN11" s="390">
        <f t="shared" si="1"/>
        <v>0</v>
      </c>
      <c r="AO11" s="143">
        <f t="array" ref="AO11">SUM(IF('2014-2017 Projects'!$AB$6:$AB$298="ISDG",'2014-2017 Projects'!$CG$6:$CG$298,0))</f>
        <v>100000</v>
      </c>
      <c r="AP11" s="143">
        <f t="array" ref="AP11">SUM(IF('2014-2017 Projects'!$AB$6:$AB$298="ISDG",'2014-2017 Projects'!$CH$6:$CH$298,0))</f>
        <v>0</v>
      </c>
      <c r="AQ11" s="144" t="s">
        <v>295</v>
      </c>
      <c r="AR11" s="254"/>
      <c r="AS11" s="141"/>
      <c r="AT11" s="141" t="s">
        <v>295</v>
      </c>
      <c r="AU11" s="281"/>
      <c r="AV11" s="281"/>
      <c r="AW11" s="281"/>
    </row>
    <row r="12" spans="1:50" s="144" customFormat="1" x14ac:dyDescent="0.2">
      <c r="A12" s="142" t="s">
        <v>743</v>
      </c>
      <c r="B12" s="143"/>
      <c r="C12" s="143"/>
      <c r="D12" s="143"/>
      <c r="E12" s="143"/>
      <c r="F12" s="143"/>
      <c r="G12" s="143"/>
      <c r="H12" s="143"/>
      <c r="I12" s="143">
        <f t="array" ref="I12">SUM(IF('2014-2017 Projects'!$AB$6:$AB$257="BCMET c/o",'2014-2017 Projects'!$AM$6:$AM$257,0))</f>
        <v>256818</v>
      </c>
      <c r="J12" s="143"/>
      <c r="K12" s="143"/>
      <c r="L12" s="143">
        <f t="array" ref="L12">SUM(IF('2014-2017 Projects'!$AB$6:$AB$257="BCMET c/o",'2014-2017 Projects'!$AQ$6:$AQ$257,0))</f>
        <v>0</v>
      </c>
      <c r="M12" s="143">
        <f t="array" ref="M12">SUM(IF('2014-2017 Projects'!$AB$6:$AB$257="BCMET c/o",'2014-2017 Projects'!$AS$6:$AS$257,0))</f>
        <v>0</v>
      </c>
      <c r="N12" s="143">
        <f t="array" ref="N12">SUM(IF('2014-2017 Projects'!$AB$6:$AB$257="BCMET c/o",'2014-2017 Projects'!$AT$6:$AT$257,0))</f>
        <v>0</v>
      </c>
      <c r="O12" s="143">
        <f t="array" ref="O12">SUM(IF('2014-2017 Projects'!$AB$6:$AB$257="BCMET c/o",'2014-2017 Projects'!$AV$6:$AV$257,0))</f>
        <v>0</v>
      </c>
      <c r="P12" s="143">
        <f t="array" ref="P12">SUM(IF('2014-2017 Projects'!$AB$6:$AB$257="BCMET c/o",'2014-2017 Projects'!$AW$6:$AW$257,0))</f>
        <v>0</v>
      </c>
      <c r="Q12" s="143">
        <f t="array" ref="Q12">SUM(IF('2014-2017 Projects'!$AB$6:$AB$257="BCMET c/o",'2014-2017 Projects'!$AY$6:$AY$257,0))</f>
        <v>0</v>
      </c>
      <c r="R12" s="143"/>
      <c r="S12" s="143"/>
      <c r="T12" s="143"/>
      <c r="U12" s="143"/>
      <c r="V12" s="143"/>
      <c r="W12" s="143"/>
      <c r="X12" s="143"/>
      <c r="Y12" s="143"/>
      <c r="Z12" s="143"/>
      <c r="AA12" s="143"/>
      <c r="AB12" s="143"/>
      <c r="AC12" s="143"/>
      <c r="AD12" s="143"/>
      <c r="AE12" s="143"/>
      <c r="AF12" s="143"/>
      <c r="AG12" s="143"/>
      <c r="AH12" s="143">
        <f t="array" ref="AH12">SUM(IF('2014-2017 Projects'!$AB$6:$AB$257="ISDG",'2014-2017 Projects'!$BY$6:$BY$257,0))</f>
        <v>0</v>
      </c>
      <c r="AI12" s="143">
        <f t="array" ref="AI12">SUM(IF('2014-2017 Projects'!$AB$6:$AB$257="ISDG",'2014-2017 Projects'!$BZ$6:$BZ$257,0))</f>
        <v>0</v>
      </c>
      <c r="AJ12" s="143">
        <f t="array" ref="AJ12">SUM(IF('2014-2017 Projects'!$AB$6:$AB$257="ISDG",'2014-2017 Projects'!$BX$6:$BX$257,0))</f>
        <v>0</v>
      </c>
      <c r="AK12" s="143">
        <f t="shared" si="4"/>
        <v>256818</v>
      </c>
      <c r="AL12" s="143">
        <f t="shared" si="5"/>
        <v>256818</v>
      </c>
      <c r="AM12" s="390">
        <f t="shared" si="0"/>
        <v>0</v>
      </c>
      <c r="AN12" s="390">
        <f t="shared" si="1"/>
        <v>0</v>
      </c>
      <c r="AO12" s="143"/>
      <c r="AP12" s="143"/>
      <c r="AR12" s="254"/>
      <c r="AS12" s="141"/>
      <c r="AT12" s="141"/>
      <c r="AU12" s="281"/>
      <c r="AV12" s="281"/>
      <c r="AW12" s="281"/>
    </row>
    <row r="13" spans="1:50" s="144" customFormat="1" x14ac:dyDescent="0.2">
      <c r="A13" s="142" t="s">
        <v>701</v>
      </c>
      <c r="B13" s="143"/>
      <c r="C13" s="143"/>
      <c r="D13" s="143"/>
      <c r="E13" s="143"/>
      <c r="F13" s="143"/>
      <c r="G13" s="143"/>
      <c r="H13" s="143">
        <f t="array" ref="H13">SUM(IF('2014-2017 Projects'!$AB$6:$AB$257="Leiden c/o",'2014-2017 Projects'!$AK$6:$AK$257,0))</f>
        <v>0</v>
      </c>
      <c r="I13" s="143">
        <f t="array" ref="I13">SUM(IF('2014-2017 Projects'!$AB$6:$AB$257="Leiden c/o",'2014-2017 Projects'!$AM$6:$AM$257,0))</f>
        <v>458860</v>
      </c>
      <c r="J13" s="143"/>
      <c r="K13" s="143"/>
      <c r="L13" s="143">
        <f t="array" ref="L13">SUM(IF('2014-2017 Projects'!$AB$6:$AB$257="Leiden c/o",'2014-2017 Projects'!$AQ$6:$AQ$257,0))</f>
        <v>0</v>
      </c>
      <c r="M13" s="143">
        <f t="array" ref="M13">SUM(IF('2014-2017 Projects'!$AB$6:$AB$257="Leiden c/o",'2014-2017 Projects'!$AS$6:$AS$257,0))</f>
        <v>0</v>
      </c>
      <c r="N13" s="143">
        <f t="array" ref="N13">SUM(IF('2014-2017 Projects'!$AB$6:$AB$257="Leiden c/o",'2014-2017 Projects'!$AT$6:$AT$257,0))</f>
        <v>0</v>
      </c>
      <c r="O13" s="143">
        <f t="array" ref="O13">SUM(IF('2014-2017 Projects'!$AB$6:$AB$257="Leiden c/o",'2014-2017 Projects'!$AV$6:$AV$257,0))</f>
        <v>0</v>
      </c>
      <c r="P13" s="143">
        <f t="array" ref="P13">SUM(IF('2014-2017 Projects'!$AB$6:$AB$257="Leiden c/o",'2014-2017 Projects'!$AW$6:$AW$257,0))</f>
        <v>0</v>
      </c>
      <c r="Q13" s="143">
        <f t="array" ref="Q13">SUM(IF('2014-2017 Projects'!$AB$6:$AB$257="Leiden c/o",'2014-2017 Projects'!$AY$6:$AY$257,0))</f>
        <v>0</v>
      </c>
      <c r="R13" s="143"/>
      <c r="S13" s="143"/>
      <c r="T13" s="143"/>
      <c r="U13" s="143"/>
      <c r="V13" s="143"/>
      <c r="W13" s="143"/>
      <c r="X13" s="143"/>
      <c r="Y13" s="143"/>
      <c r="Z13" s="143"/>
      <c r="AA13" s="143"/>
      <c r="AB13" s="143"/>
      <c r="AC13" s="143"/>
      <c r="AD13" s="143"/>
      <c r="AE13" s="143"/>
      <c r="AF13" s="143"/>
      <c r="AG13" s="143"/>
      <c r="AH13" s="143">
        <f t="array" ref="AH13">SUM(IF('2014-2017 Projects'!$AB$6:$AB$257="Leiden c/o",'2014-2017 Projects'!$BY$6:$BY$257,0))</f>
        <v>0</v>
      </c>
      <c r="AI13" s="143">
        <f t="array" ref="AI13">SUM(IF('2014-2017 Projects'!$AB$6:$AB$257="Leiden c/o",'2014-2017 Projects'!$BZ$6:$BZ$257,0))</f>
        <v>0</v>
      </c>
      <c r="AJ13" s="143">
        <f t="array" ref="AJ13">SUM(IF('2014-2017 Projects'!$AB$6:$AB$257="Leiden c/o",'2014-2017 Projects'!$BX$6:$BX$257,0))</f>
        <v>0</v>
      </c>
      <c r="AK13" s="143">
        <f t="shared" si="4"/>
        <v>458860</v>
      </c>
      <c r="AL13" s="143">
        <f t="shared" si="5"/>
        <v>458860</v>
      </c>
      <c r="AM13" s="390">
        <f t="shared" si="0"/>
        <v>0</v>
      </c>
      <c r="AN13" s="390">
        <f t="shared" si="1"/>
        <v>0</v>
      </c>
      <c r="AO13" s="143"/>
      <c r="AP13" s="143"/>
      <c r="AR13" s="254"/>
      <c r="AS13" s="141"/>
      <c r="AT13" s="141"/>
      <c r="AU13" s="281"/>
      <c r="AV13" s="281"/>
      <c r="AW13" s="281"/>
    </row>
    <row r="14" spans="1:50" s="144" customFormat="1" ht="10.9" customHeight="1" x14ac:dyDescent="0.2">
      <c r="A14" s="142" t="s">
        <v>308</v>
      </c>
      <c r="B14" s="143">
        <f t="array" ref="B14">SUM(IF('2014-2017 Projects'!$AB$6:$AB$298="NDPG",'2014-2017 Projects'!$AG$6:$AG$298,0))</f>
        <v>10000000</v>
      </c>
      <c r="C14" s="143">
        <f t="array" ref="C14">SUM(IF('2014-2017 Projects'!$AB$6:$AB$298="NDPG",'2014-2017 Projects'!$AG$6:$AG$298,0))</f>
        <v>10000000</v>
      </c>
      <c r="D14" s="143">
        <f t="array" ref="D14">SUM(IF('2014-2017 Projects'!$AB$6:$AB$298="NDPG",'2014-2017 Projects'!$AG$6:$AG$298,0))</f>
        <v>10000000</v>
      </c>
      <c r="E14" s="143">
        <f t="array" ref="E14">SUM(IF('2014-2017 Projects'!$AB$6:$AB$298="NDPG",'2014-2017 Projects'!$AH$6:$AH$298,0))</f>
        <v>-10000000</v>
      </c>
      <c r="F14" s="143">
        <f t="array" ref="F14">SUM(IF('2014-2017 Projects'!$AB$6:$AB$298="NDPG",'2014-2017 Projects'!$AI$6:$AI$298,0))</f>
        <v>0</v>
      </c>
      <c r="G14" s="143"/>
      <c r="H14" s="143">
        <f t="array" ref="H14">SUM(IF('2014-2017 Projects'!$AB$6:$AB$252="NDPG",'2014-2017 Projects'!$AK$6:$AK$252,0))</f>
        <v>5000000</v>
      </c>
      <c r="I14" s="143">
        <f t="array" ref="I14">SUM(IF('2014-2017 Projects'!$AB$6:$AB$252="NDPG",'2014-2017 Projects'!$AM$6:$AM$252,0))</f>
        <v>5000000</v>
      </c>
      <c r="J14" s="143">
        <f t="array" ref="J14">SUM(IF('2014-2017 Projects'!$AB$6:$AB$252="NDPG",'2014-2017 Projects'!$AN$6:$AN$252,0))</f>
        <v>0</v>
      </c>
      <c r="K14" s="143">
        <f t="array" ref="K14">SUM(IF('2014-2017 Projects'!$AB$6:$AB$252="NDPG",'2014-2017 Projects'!$AP$6:$AP$252,0))</f>
        <v>0</v>
      </c>
      <c r="L14" s="143">
        <f t="array" ref="L14">SUM(IF('2014-2017 Projects'!$AB$6:$AB$252="NDPG",'2014-2017 Projects'!$AQ$6:$AQ$252,0))</f>
        <v>0</v>
      </c>
      <c r="M14" s="143">
        <f t="array" ref="M14">SUM(IF('2014-2017 Projects'!$AB$6:$AB$252="NDPG",'2014-2017 Projects'!$AS$6:$AS$252,0))</f>
        <v>0</v>
      </c>
      <c r="N14" s="143">
        <f t="array" ref="N14">SUM(IF('2014-2017 Projects'!$AB$6:$AB$252="NDPG",'2014-2017 Projects'!$AT$6:$AT$252,0))</f>
        <v>107792</v>
      </c>
      <c r="O14" s="143">
        <f t="array" ref="O14">SUM(IF('2014-2017 Projects'!$AB$6:$AB$252="NDPG",'2014-2017 Projects'!$AV$6:$AV$252,0))</f>
        <v>107792</v>
      </c>
      <c r="P14" s="143">
        <f t="array" ref="P14">SUM(IF('2014-2017 Projects'!$AB$6:$AB$252="NDPG",'2014-2017 Projects'!$AW$6:$AW$252,0))</f>
        <v>2583366.6800000002</v>
      </c>
      <c r="Q14" s="143">
        <f t="array" ref="Q14">SUM(IF('2014-2017 Projects'!$AB$6:$AB$252="NDPG",'2014-2017 Projects'!$AY$6:$AY$252,0))</f>
        <v>2960128.89</v>
      </c>
      <c r="R14" s="143"/>
      <c r="S14" s="143"/>
      <c r="T14" s="143"/>
      <c r="U14" s="143"/>
      <c r="V14" s="143"/>
      <c r="W14" s="143"/>
      <c r="X14" s="143"/>
      <c r="Y14" s="143"/>
      <c r="Z14" s="143"/>
      <c r="AA14" s="143"/>
      <c r="AB14" s="143"/>
      <c r="AC14" s="143"/>
      <c r="AD14" s="143"/>
      <c r="AE14" s="143"/>
      <c r="AF14" s="143"/>
      <c r="AG14" s="143"/>
      <c r="AH14" s="143">
        <f t="array" ref="AH14">SUM(IF('2014-2017 Projects'!$AB$6:$AB$252="NDPG",'2014-2017 Projects'!$BY$6:$BY$252,0))</f>
        <v>2691158.68</v>
      </c>
      <c r="AI14" s="143">
        <f t="array" ref="AI14">SUM(IF('2014-2017 Projects'!$AB$6:$AB$252="NDPG",'2014-2017 Projects'!$BZ$6:$BZ$252,0))</f>
        <v>3067920.89</v>
      </c>
      <c r="AJ14" s="143">
        <f t="array" ref="AJ14">SUM(IF('2014-2017 Projects'!$AB$6:$AB$252="NDPG",'2014-2017 Projects'!$BX$6:$BX$252,0))</f>
        <v>298824.27</v>
      </c>
      <c r="AK14" s="143">
        <f t="shared" si="4"/>
        <v>2308841.3199999998</v>
      </c>
      <c r="AL14" s="143">
        <f t="shared" si="5"/>
        <v>1932079.1099999999</v>
      </c>
      <c r="AM14" s="390">
        <f t="shared" si="0"/>
        <v>0.53823173600000007</v>
      </c>
      <c r="AN14" s="390">
        <f t="shared" si="1"/>
        <v>0.61358417799999998</v>
      </c>
      <c r="AO14" s="143">
        <f t="array" ref="AO14">SUM(IF('2014-2017 Projects'!$AB$6:$AB$252="NDPG",'2014-2017 Projects'!$CG$6:$CG$252,0))</f>
        <v>16878000</v>
      </c>
      <c r="AP14" s="143">
        <f t="array" ref="AP14">SUM(IF('2014-2017 Projects'!$AB$6:$AB$252="NDPG",'2014-2017 Projects'!$CH$6:$CH$252,0))</f>
        <v>17744000</v>
      </c>
      <c r="AQ14" s="144" t="s">
        <v>295</v>
      </c>
      <c r="AR14" s="254"/>
      <c r="AS14" s="141"/>
      <c r="AT14" s="141" t="s">
        <v>295</v>
      </c>
      <c r="AU14" s="281"/>
      <c r="AV14" s="281"/>
      <c r="AW14" s="281"/>
    </row>
    <row r="15" spans="1:50" s="144" customFormat="1" ht="13.5" customHeight="1" x14ac:dyDescent="0.2">
      <c r="A15" s="149" t="s">
        <v>309</v>
      </c>
      <c r="B15" s="143">
        <f t="array" ref="B15">SUM(IF('2014-2017 Projects'!$AB$6:$AB$298="USDG ",'2014-2017 Projects'!$AG$6:$AG$298,0))</f>
        <v>238119983</v>
      </c>
      <c r="C15" s="143">
        <f t="array" ref="C15">SUM(IF('2014-2017 Projects'!$AB$6:$AB$298="USDG ",'2014-2017 Projects'!$AG$6:$AG$298,0))</f>
        <v>238119983</v>
      </c>
      <c r="D15" s="143">
        <f t="array" ref="D15">SUM(IF('2014-2017 Projects'!$AB$6:$AB$298="USDG ",'2014-2017 Projects'!$AG$6:$AG$298,0))</f>
        <v>238119983</v>
      </c>
      <c r="E15" s="143">
        <f t="array" ref="E15">SUM(IF('2014-2017 Projects'!$AB$6:$AB$298="USDG ",'2014-2017 Projects'!$AH$6:$AH$298,0))</f>
        <v>-7384413</v>
      </c>
      <c r="F15" s="143">
        <f t="array" ref="F15">SUM(IF('2014-2017 Projects'!$AB$6:$AB$298="USDG ",'2014-2017 Projects'!$AI$6:$AI$298,0))</f>
        <v>230735570</v>
      </c>
      <c r="G15" s="143"/>
      <c r="H15" s="143">
        <f t="array" ref="H15">SUM(IF('2014-2017 Projects'!$AB$6:$AB$252="USDG ",'2014-2017 Projects'!$AK$6:$AK$252,0))</f>
        <v>639824500</v>
      </c>
      <c r="I15" s="143">
        <f t="array" ref="I15">SUM(IF('2014-2017 Projects'!$AB$6:$AB$252="USDG ",'2014-2017 Projects'!$AM$6:$AM$252,0))</f>
        <v>639824500</v>
      </c>
      <c r="J15" s="143">
        <f t="array" ref="J15">SUM(IF('2014-2017 Projects'!$AB$6:$AB$252="USDG ",'2014-2017 Projects'!$AN$6:$AN$252,0))</f>
        <v>1979773.1400000001</v>
      </c>
      <c r="K15" s="143">
        <f t="array" ref="K15">SUM(IF('2014-2017 Projects'!$AB$6:$AB$252="USDG ",'2014-2017 Projects'!$AP$6:$AP$252,0))</f>
        <v>2285768.7899999996</v>
      </c>
      <c r="L15" s="143">
        <f t="array" ref="L15">SUM(IF('2014-2017 Projects'!$AB$6:$AB$252="USDG ",'2014-2017 Projects'!$AQ$6:$AQ$252,0))</f>
        <v>28086910.529999997</v>
      </c>
      <c r="M15" s="143">
        <f t="array" ref="M15">SUM(IF('2014-2017 Projects'!$AB$6:$AB$252="USDG ",'2014-2017 Projects'!$AS$6:$AS$252,0))</f>
        <v>31820696.240000002</v>
      </c>
      <c r="N15" s="143">
        <f t="array" ref="N15">SUM(IF('2014-2017 Projects'!$AB$6:$AB$252="USDG ",'2014-2017 Projects'!$AT$6:$AT$252,0))</f>
        <v>37979284.100000001</v>
      </c>
      <c r="O15" s="143">
        <f t="array" ref="O15">SUM(IF('2014-2017 Projects'!$AB$6:$AB$252="USDG ",'2014-2017 Projects'!$AV$6:$AV$252,0))</f>
        <v>42795324.889999993</v>
      </c>
      <c r="P15" s="143">
        <f t="array" ref="P15">SUM(IF('2014-2017 Projects'!$AB$6:$AB$252="USDG ",'2014-2017 Projects'!$AW$6:$AW$252,0))</f>
        <v>43344629.730000004</v>
      </c>
      <c r="Q15" s="143">
        <f t="array" ref="Q15">SUM(IF('2014-2017 Projects'!$AB$6:$AB$252="USDG ",'2014-2017 Projects'!$AY$6:$AY$252,0))</f>
        <v>48913901.589999996</v>
      </c>
      <c r="R15" s="143"/>
      <c r="S15" s="143"/>
      <c r="T15" s="143"/>
      <c r="U15" s="143"/>
      <c r="V15" s="143"/>
      <c r="W15" s="143"/>
      <c r="X15" s="143"/>
      <c r="Y15" s="143"/>
      <c r="Z15" s="143"/>
      <c r="AA15" s="143"/>
      <c r="AB15" s="143"/>
      <c r="AC15" s="143"/>
      <c r="AD15" s="143"/>
      <c r="AE15" s="143"/>
      <c r="AF15" s="143"/>
      <c r="AG15" s="143"/>
      <c r="AH15" s="143">
        <f t="array" ref="AH15">SUM(IF('2014-2017 Projects'!$AB$6:$AB$252="USDG ",'2014-2017 Projects'!$BY$6:$BY$252,0))</f>
        <v>111390597.50000001</v>
      </c>
      <c r="AI15" s="143">
        <f t="array" ref="AI15">SUM(IF('2014-2017 Projects'!$AB$6:$AB$252="USDG ",'2014-2017 Projects'!$BZ$6:$BZ$252,0))</f>
        <v>125815691.51000004</v>
      </c>
      <c r="AJ15" s="143">
        <f t="array" ref="AJ15">SUM(IF('2014-2017 Projects'!$AB$6:$AB$252="USDG ",'2014-2017 Projects'!$BX$6:$BX$252,0))</f>
        <v>34650580.430000007</v>
      </c>
      <c r="AK15" s="143">
        <f t="shared" si="4"/>
        <v>528433902.5</v>
      </c>
      <c r="AL15" s="143">
        <f t="shared" si="5"/>
        <v>514008808.48999995</v>
      </c>
      <c r="AM15" s="390">
        <f t="shared" si="0"/>
        <v>0.17409554885753831</v>
      </c>
      <c r="AN15" s="390">
        <f t="shared" si="1"/>
        <v>0.19664094061730997</v>
      </c>
      <c r="AO15" s="143">
        <f t="array" ref="AO15">SUM(IF('2014-2017 Projects'!$AB$6:$AB$252="USDG ",'2014-2017 Projects'!$CG$6:$CG$252,0))</f>
        <v>1023310100</v>
      </c>
      <c r="AP15" s="143">
        <f t="array" ref="AP15">SUM(IF('2014-2017 Projects'!$AB$6:$AB$252="USDG ",'2014-2017 Projects'!$CH$6:$CH$252,0))</f>
        <v>1025627100</v>
      </c>
      <c r="AQ15" s="144" t="s">
        <v>295</v>
      </c>
      <c r="AR15" s="254"/>
      <c r="AS15" s="307" t="e">
        <f>+AP15-#REF!</f>
        <v>#REF!</v>
      </c>
      <c r="AT15" s="307" t="s">
        <v>295</v>
      </c>
      <c r="AU15" s="281">
        <v>33464500</v>
      </c>
      <c r="AV15" s="281">
        <v>37147900</v>
      </c>
      <c r="AW15" s="281">
        <v>38147900</v>
      </c>
      <c r="AX15" s="326" t="s">
        <v>500</v>
      </c>
    </row>
    <row r="16" spans="1:50" s="144" customFormat="1" x14ac:dyDescent="0.2">
      <c r="A16" s="150" t="s">
        <v>310</v>
      </c>
      <c r="B16" s="143">
        <f t="array" ref="B16">SUM(IF('2014-2017 Projects'!$AB$6:$AB$298="HSDG",'2014-2017 Projects'!$AG$6:$AG$298,0))</f>
        <v>23924600</v>
      </c>
      <c r="C16" s="143">
        <f t="array" ref="C16">SUM(IF('2014-2017 Projects'!$AB$6:$AB$298="HSDG",'2014-2017 Projects'!$AG$6:$AG$298,0))</f>
        <v>23924600</v>
      </c>
      <c r="D16" s="143">
        <f t="array" ref="D16">SUM(IF('2014-2017 Projects'!$AB$6:$AB$298="HSDG",'2014-2017 Projects'!$AG$6:$AG$298,0))</f>
        <v>23924600</v>
      </c>
      <c r="E16" s="143">
        <f t="array" ref="E16">SUM(IF('2014-2017 Projects'!$AB$6:$AB$298="HSDG",'2014-2017 Projects'!$AH$6:$AH$298,0))</f>
        <v>-500000</v>
      </c>
      <c r="F16" s="143">
        <f t="array" ref="F16">SUM(IF('2014-2017 Projects'!$AB$6:$AB$298="HSDG",'2014-2017 Projects'!$AI$6:$AI$298,0))</f>
        <v>23424600</v>
      </c>
      <c r="G16" s="143"/>
      <c r="H16" s="143">
        <f t="array" ref="H16">SUM(IF('2014-2017 Projects'!$AB$6:$AB$252="HSDG",'2014-2017 Projects'!$AK$6:$AK$252,0))</f>
        <v>18600000</v>
      </c>
      <c r="I16" s="143">
        <f t="array" ref="I16">SUM(IF('2014-2017 Projects'!$AB$6:$AB$252="HSDG",'2014-2017 Projects'!$AM$6:$AM$252,0))</f>
        <v>18600000</v>
      </c>
      <c r="J16" s="143">
        <f t="array" ref="J16">SUM(IF('2014-2017 Projects'!$AB$6:$AB$252="HSDG",'2014-2017 Projects'!$AN$6:$AN$252,0))</f>
        <v>2245000.06</v>
      </c>
      <c r="K16" s="143">
        <f t="array" ref="K16">SUM(IF('2014-2017 Projects'!$AB$6:$AB$252="HSDG",'2014-2017 Projects'!$AP$6:$AP$252,0))</f>
        <v>2245000.06</v>
      </c>
      <c r="L16" s="143">
        <f t="array" ref="L16">SUM(IF('2014-2017 Projects'!$AB$6:$AB$252="HSDG",'2014-2017 Projects'!$AQ$6:$AQ$252,0))</f>
        <v>3355847.36</v>
      </c>
      <c r="M16" s="143">
        <f t="array" ref="M16">SUM(IF('2014-2017 Projects'!$AB$6:$AB$252="HSDG",'2014-2017 Projects'!$AS$6:$AS$252,0))</f>
        <v>3355847.36</v>
      </c>
      <c r="N16" s="143">
        <f t="array" ref="N16">SUM(IF('2014-2017 Projects'!$AB$6:$AB$252="HSDG",'2014-2017 Projects'!$AT$6:$AT$252,0))</f>
        <v>2012123.67</v>
      </c>
      <c r="O16" s="143">
        <f t="array" ref="O16">SUM(IF('2014-2017 Projects'!$AB$6:$AB$252="HSDG",'2014-2017 Projects'!$AV$6:$AV$252,0))</f>
        <v>2012123.67</v>
      </c>
      <c r="P16" s="143">
        <f t="array" ref="P16">SUM(IF('2014-2017 Projects'!$AB$6:$AB$252="HSDG",'2014-2017 Projects'!$AW$6:$AW$252,0))</f>
        <v>3349250.38</v>
      </c>
      <c r="Q16" s="143">
        <f t="array" ref="Q16">SUM(IF('2014-2017 Projects'!$AB$6:$AB$252="HSDG",'2014-2017 Projects'!$AY$6:$AY$252,0))</f>
        <v>3349250.38</v>
      </c>
      <c r="R16" s="143"/>
      <c r="S16" s="143"/>
      <c r="T16" s="143"/>
      <c r="U16" s="143"/>
      <c r="V16" s="143"/>
      <c r="W16" s="143"/>
      <c r="X16" s="143"/>
      <c r="Y16" s="143"/>
      <c r="Z16" s="143"/>
      <c r="AA16" s="143"/>
      <c r="AB16" s="143"/>
      <c r="AC16" s="143"/>
      <c r="AD16" s="143"/>
      <c r="AE16" s="143"/>
      <c r="AF16" s="143"/>
      <c r="AG16" s="143"/>
      <c r="AH16" s="143">
        <f t="array" ref="AH16">SUM(IF('2014-2017 Projects'!$AB$6:$AB$252="HSDG",'2014-2017 Projects'!$BY$6:$BY$252,0))</f>
        <v>10962221.469999999</v>
      </c>
      <c r="AI16" s="143">
        <f t="array" ref="AI16">SUM(IF('2014-2017 Projects'!$AB$6:$AB$252="HSDG",'2014-2017 Projects'!$BZ$6:$BZ$252,0))</f>
        <v>10962221.469999999</v>
      </c>
      <c r="AJ16" s="143">
        <f t="array" ref="AJ16">SUM(IF('2014-2017 Projects'!$AB$6:$AB$252="HSDG",'2014-2017 Projects'!$BX$6:$BX$252,0))</f>
        <v>0</v>
      </c>
      <c r="AK16" s="143">
        <f t="shared" si="4"/>
        <v>7637778.5300000012</v>
      </c>
      <c r="AL16" s="143">
        <f t="shared" si="5"/>
        <v>7637778.5300000012</v>
      </c>
      <c r="AM16" s="390">
        <f t="shared" si="0"/>
        <v>0.58936674569892467</v>
      </c>
      <c r="AN16" s="390">
        <f t="shared" si="1"/>
        <v>0.58936674569892467</v>
      </c>
      <c r="AO16" s="143">
        <f t="array" ref="AO16">SUM(IF('2014-2017 Projects'!$AB$6:$AB$252="HSDG",'2014-2017 Projects'!$CG$6:$CG$252,0))</f>
        <v>44900000</v>
      </c>
      <c r="AP16" s="143">
        <f t="array" ref="AP16">SUM(IF('2014-2017 Projects'!$AB$6:$AB$252="HSDG",'2014-2017 Projects'!$CH$6:$CH$252,0))</f>
        <v>59300000</v>
      </c>
      <c r="AQ16" s="144" t="s">
        <v>311</v>
      </c>
      <c r="AR16" s="254"/>
      <c r="AS16" s="141"/>
      <c r="AT16" s="141" t="s">
        <v>311</v>
      </c>
      <c r="AU16" s="323"/>
      <c r="AV16" s="281"/>
      <c r="AW16" s="281"/>
    </row>
    <row r="17" spans="1:55" s="144" customFormat="1" x14ac:dyDescent="0.2">
      <c r="A17" s="150" t="s">
        <v>704</v>
      </c>
      <c r="B17" s="143"/>
      <c r="C17" s="143"/>
      <c r="D17" s="143"/>
      <c r="E17" s="143"/>
      <c r="F17" s="143"/>
      <c r="G17" s="143"/>
      <c r="H17" s="143">
        <f t="array" ref="H17">SUM(IF('2014-2017 Projects'!$AB$6:$AB$252="HSDG c/o",'2014-2017 Projects'!$AK$6:$AK$252,0))</f>
        <v>0</v>
      </c>
      <c r="I17" s="143">
        <f t="array" ref="I17">SUM(IF('2014-2017 Projects'!$AB$6:$AB$252="HSDG c/o",'2014-2017 Projects'!$AM$6:$AM$252,0))</f>
        <v>20435448</v>
      </c>
      <c r="J17" s="143"/>
      <c r="K17" s="143"/>
      <c r="L17" s="143">
        <f t="array" ref="L17">SUM(IF('2014-2017 Projects'!$AB$6:$AB$252="HSDG c/o",'2014-2017 Projects'!$AQ$6:$AQ$252,0))</f>
        <v>0</v>
      </c>
      <c r="M17" s="143">
        <f t="array" ref="M17">SUM(IF('2014-2017 Projects'!$AB$6:$AB$252="HSDG c/o",'2014-2017 Projects'!$AS$6:$AS$252,0))</f>
        <v>0</v>
      </c>
      <c r="N17" s="143">
        <f t="array" ref="N17">SUM(IF('2014-2017 Projects'!$AB$6:$AB$252="HSDG c/o",'2014-2017 Projects'!$AT$6:$AT$252,0))</f>
        <v>21421.49</v>
      </c>
      <c r="O17" s="143">
        <f t="array" ref="O17">SUM(IF('2014-2017 Projects'!$AB$6:$AB$252="HSDG c/o",'2014-2017 Projects'!$AV$6:$AV$252,0))</f>
        <v>21421.49</v>
      </c>
      <c r="P17" s="143">
        <f t="array" ref="P17">SUM(IF('2014-2017 Projects'!$AB$6:$AB$252="HSDG c/o",'2014-2017 Projects'!$AW$6:$AW$252,0))</f>
        <v>6632738.4900000002</v>
      </c>
      <c r="Q17" s="143">
        <f t="array" ref="Q17">SUM(IF('2014-2017 Projects'!$AB$6:$AB$252="HSDG c/o",'2014-2017 Projects'!$AY$6:$AY$252,0))</f>
        <v>6632738.4900000002</v>
      </c>
      <c r="R17" s="143"/>
      <c r="S17" s="143"/>
      <c r="T17" s="143"/>
      <c r="U17" s="143"/>
      <c r="V17" s="143"/>
      <c r="W17" s="143"/>
      <c r="X17" s="143"/>
      <c r="Y17" s="143"/>
      <c r="Z17" s="143"/>
      <c r="AA17" s="143"/>
      <c r="AB17" s="143"/>
      <c r="AC17" s="143"/>
      <c r="AD17" s="143"/>
      <c r="AE17" s="143"/>
      <c r="AF17" s="143"/>
      <c r="AG17" s="143"/>
      <c r="AH17" s="143">
        <f t="array" ref="AH17">SUM(IF('2014-2017 Projects'!$AB$6:$AB$252="HSDG c/o",'2014-2017 Projects'!$BY$6:$BY$252,0))</f>
        <v>6654159.9800000004</v>
      </c>
      <c r="AI17" s="143">
        <f t="array" ref="AI17">SUM(IF('2014-2017 Projects'!$AB$6:$AB$252="HSDG c/o",'2014-2017 Projects'!$BZ$6:$BZ$252,0))</f>
        <v>6654159.9800000004</v>
      </c>
      <c r="AJ17" s="143">
        <f t="array" ref="AJ17">SUM(IF('2014-2017 Projects'!$AB$6:$AB$252="HSDG c/o",'2014-2017 Projects'!$BX$6:$BX$252,0))</f>
        <v>226959.32</v>
      </c>
      <c r="AK17" s="143">
        <f t="shared" si="4"/>
        <v>13781288.02</v>
      </c>
      <c r="AL17" s="143">
        <f t="shared" si="5"/>
        <v>13781288.02</v>
      </c>
      <c r="AM17" s="390">
        <f t="shared" si="0"/>
        <v>0.32561850271156279</v>
      </c>
      <c r="AN17" s="390">
        <f t="shared" si="1"/>
        <v>0.32561850271156279</v>
      </c>
      <c r="AO17" s="143"/>
      <c r="AP17" s="143"/>
      <c r="AQ17" s="144" t="s">
        <v>311</v>
      </c>
      <c r="AR17" s="254"/>
      <c r="AS17" s="141"/>
      <c r="AT17" s="141"/>
      <c r="AU17" s="323"/>
      <c r="AV17" s="281"/>
      <c r="AW17" s="281"/>
    </row>
    <row r="18" spans="1:55" s="144" customFormat="1" x14ac:dyDescent="0.2">
      <c r="A18" s="150" t="s">
        <v>497</v>
      </c>
      <c r="B18" s="143">
        <f t="array" ref="B18">SUM(IF('2014-2017 Projects'!$AB$6:$AB$298="HSDG-Special Fund",'2014-2017 Projects'!$AG$6:$AG$298,0))</f>
        <v>0</v>
      </c>
      <c r="C18" s="143">
        <f t="array" ref="C18">SUM(IF('2014-2017 Projects'!$AB$6:$AB$298="HSDG-Special Fund",'2014-2017 Projects'!$AG$6:$AG$298,0))</f>
        <v>0</v>
      </c>
      <c r="D18" s="143">
        <f t="array" ref="D18">SUM(IF('2014-2017 Projects'!$AB$6:$AB$298="HSDG-Special Fund",'2014-2017 Projects'!$AG$6:$AG$298,0))</f>
        <v>0</v>
      </c>
      <c r="E18" s="143">
        <f t="array" ref="E18">SUM(IF('2014-2017 Projects'!$AB$6:$AB$298="HSDG-Special Fund",'2014-2017 Projects'!$AH$6:$AH$298,0))</f>
        <v>0</v>
      </c>
      <c r="F18" s="143">
        <f t="array" ref="F18">SUM(IF('2014-2017 Projects'!$AB$6:$AB$298="HSDG-Special Fund",'2014-2017 Projects'!$AI$6:$AI$298,0))</f>
        <v>0</v>
      </c>
      <c r="G18" s="143"/>
      <c r="H18" s="143">
        <f t="array" ref="H18">SUM(IF('2014-2017 Projects'!$AB$6:$AB$252="HSDG-(MPCC)",'2014-2017 Projects'!$AK$6:$AK$252,0))</f>
        <v>10068500</v>
      </c>
      <c r="I18" s="143">
        <f t="array" ref="I18">SUM(IF('2014-2017 Projects'!$AB$6:$AB$252="HSDG-(MPCC)",'2014-2017 Projects'!$AM$6:$AM$252,0))</f>
        <v>10068500</v>
      </c>
      <c r="J18" s="143">
        <f t="array" ref="J18">SUM(IF('2014-2017 Projects'!$AB$6:$AB$252="HSDG-(MPCC)",'2014-2017 Projects'!$AN$6:$AN$252,0))</f>
        <v>0</v>
      </c>
      <c r="K18" s="143">
        <f t="array" ref="K18">SUM(IF('2014-2017 Projects'!$AB$6:$AB$252="HSDG-(MPCC)",'2014-2017 Projects'!$AP$6:$AP$252,0))</f>
        <v>0</v>
      </c>
      <c r="L18" s="143">
        <f t="array" ref="L18">SUM(IF('2014-2017 Projects'!$AB$6:$AB$252="HSDG-(MPCC)",'2014-2017 Projects'!$AQ$6:$AQ$252,0))</f>
        <v>0</v>
      </c>
      <c r="M18" s="143">
        <f t="array" ref="M18">SUM(IF('2014-2017 Projects'!$AB$6:$AB$252="HSDG-(MPCC)",'2014-2017 Projects'!$AS$6:$AS$252,0))</f>
        <v>0</v>
      </c>
      <c r="N18" s="143">
        <f t="array" ref="N18">SUM(IF('2014-2017 Projects'!$AB$6:$AB$252="HSDG-(MPCC)",'2014-2017 Projects'!$AT$6:$AT$252,0))</f>
        <v>0</v>
      </c>
      <c r="O18" s="143">
        <f t="array" ref="O18">SUM(IF('2014-2017 Projects'!$AB$6:$AB$252="HSDG-(MPCC)",'2014-2017 Projects'!$AV$6:$AV$252,0))</f>
        <v>0</v>
      </c>
      <c r="P18" s="143">
        <f t="array" ref="P18">SUM(IF('2014-2017 Projects'!$AB$6:$AB$252="HSDG-(MPCC)",'2014-2017 Projects'!$AW$6:$AW$252,0))</f>
        <v>0</v>
      </c>
      <c r="Q18" s="143">
        <f t="array" ref="Q18">SUM(IF('2014-2017 Projects'!$AB$6:$AB$252="HSDG-(MPCC)",'2014-2017 Projects'!$AY$6:$AY$252,0))</f>
        <v>0</v>
      </c>
      <c r="R18" s="143"/>
      <c r="S18" s="143"/>
      <c r="T18" s="143"/>
      <c r="U18" s="143"/>
      <c r="V18" s="143"/>
      <c r="W18" s="143"/>
      <c r="X18" s="143"/>
      <c r="Y18" s="143"/>
      <c r="Z18" s="143"/>
      <c r="AA18" s="143"/>
      <c r="AB18" s="143"/>
      <c r="AC18" s="143"/>
      <c r="AD18" s="143"/>
      <c r="AE18" s="143"/>
      <c r="AF18" s="143"/>
      <c r="AG18" s="143"/>
      <c r="AH18" s="143">
        <f t="array" ref="AH18">SUM(IF('2014-2017 Projects'!$AB$6:$AB$252="HSDG-(MPCC)",'2014-2017 Projects'!$BY$6:$BY$252,0))</f>
        <v>0</v>
      </c>
      <c r="AI18" s="143">
        <f t="array" ref="AI18">SUM(IF('2014-2017 Projects'!$AB$6:$AB$252="HSDG-(MPCC)",'2014-2017 Projects'!$BZ$6:$BZ$252,0))</f>
        <v>0</v>
      </c>
      <c r="AJ18" s="143">
        <f t="array" ref="AJ18">SUM(IF('2014-2017 Projects'!$AB$6:$AB$252="HSDG-(MPCC)",'2014-2017 Projects'!$BX$6:$BX$252,0))</f>
        <v>2245300</v>
      </c>
      <c r="AK18" s="143">
        <f t="shared" si="4"/>
        <v>10068500</v>
      </c>
      <c r="AL18" s="143">
        <f t="shared" si="5"/>
        <v>10068500</v>
      </c>
      <c r="AM18" s="390">
        <f t="shared" si="0"/>
        <v>0</v>
      </c>
      <c r="AN18" s="390">
        <f t="shared" si="1"/>
        <v>0</v>
      </c>
      <c r="AO18" s="143">
        <f t="array" ref="AO18">SUM(IF('2014-2017 Projects'!$AB$6:$AB$252="HSDG-(MPCC)",'2014-2017 Projects'!$CG$6:$CG$252,0))</f>
        <v>13068500</v>
      </c>
      <c r="AP18" s="143">
        <f t="array" ref="AP18">SUM(IF('2014-2017 Projects'!$AB$6:$AB$252="HSDG-(MPCC)",'2014-2017 Projects'!$CH$6:$CH$252,0))</f>
        <v>0</v>
      </c>
      <c r="AQ18" s="144" t="s">
        <v>311</v>
      </c>
      <c r="AR18" s="254"/>
      <c r="AS18" s="141"/>
      <c r="AT18" s="141" t="s">
        <v>311</v>
      </c>
      <c r="AU18" s="332"/>
      <c r="AV18" s="281"/>
      <c r="AW18" s="281"/>
    </row>
    <row r="19" spans="1:55" s="132" customFormat="1" ht="13.5" thickBot="1" x14ac:dyDescent="0.25">
      <c r="A19" s="145" t="s">
        <v>312</v>
      </c>
      <c r="B19" s="146">
        <f t="shared" ref="B19:AP19" si="6">SUM(B8:B18)</f>
        <v>272144583</v>
      </c>
      <c r="C19" s="146">
        <f t="shared" si="6"/>
        <v>272144583</v>
      </c>
      <c r="D19" s="146">
        <f t="shared" si="6"/>
        <v>272144583</v>
      </c>
      <c r="E19" s="146">
        <f t="shared" si="6"/>
        <v>-17884413</v>
      </c>
      <c r="F19" s="146">
        <f t="shared" si="6"/>
        <v>254260170</v>
      </c>
      <c r="G19" s="146">
        <f t="shared" si="6"/>
        <v>0</v>
      </c>
      <c r="H19" s="146">
        <f t="shared" si="6"/>
        <v>700781726</v>
      </c>
      <c r="I19" s="146">
        <f t="shared" si="6"/>
        <v>724619137</v>
      </c>
      <c r="J19" s="146">
        <f t="shared" si="6"/>
        <v>4259119.2</v>
      </c>
      <c r="K19" s="146">
        <f t="shared" si="6"/>
        <v>4565114.8499999996</v>
      </c>
      <c r="L19" s="146">
        <f t="shared" si="6"/>
        <v>31571563.959999997</v>
      </c>
      <c r="M19" s="146">
        <f t="shared" si="6"/>
        <v>35305349.670000002</v>
      </c>
      <c r="N19" s="146">
        <f t="shared" si="6"/>
        <v>43374590.560000002</v>
      </c>
      <c r="O19" s="146">
        <f t="shared" si="6"/>
        <v>48614017.93</v>
      </c>
      <c r="P19" s="146">
        <f t="shared" si="6"/>
        <v>65377822.650000006</v>
      </c>
      <c r="Q19" s="146">
        <f t="shared" si="6"/>
        <v>72026150.980000004</v>
      </c>
      <c r="R19" s="146">
        <f t="shared" si="6"/>
        <v>0</v>
      </c>
      <c r="S19" s="146">
        <f t="shared" si="6"/>
        <v>0</v>
      </c>
      <c r="T19" s="146">
        <f t="shared" si="6"/>
        <v>0</v>
      </c>
      <c r="U19" s="146">
        <f t="shared" si="6"/>
        <v>0</v>
      </c>
      <c r="V19" s="146">
        <f t="shared" si="6"/>
        <v>0</v>
      </c>
      <c r="W19" s="146">
        <f t="shared" si="6"/>
        <v>0</v>
      </c>
      <c r="X19" s="146">
        <f t="shared" si="6"/>
        <v>0</v>
      </c>
      <c r="Y19" s="146">
        <f t="shared" si="6"/>
        <v>0</v>
      </c>
      <c r="Z19" s="146">
        <f t="shared" si="6"/>
        <v>0</v>
      </c>
      <c r="AA19" s="146">
        <f t="shared" si="6"/>
        <v>0</v>
      </c>
      <c r="AB19" s="146">
        <f t="shared" si="6"/>
        <v>0</v>
      </c>
      <c r="AC19" s="146">
        <f t="shared" si="6"/>
        <v>0</v>
      </c>
      <c r="AD19" s="146">
        <f t="shared" si="6"/>
        <v>0</v>
      </c>
      <c r="AE19" s="146">
        <f t="shared" si="6"/>
        <v>0</v>
      </c>
      <c r="AF19" s="146">
        <f t="shared" si="6"/>
        <v>0</v>
      </c>
      <c r="AG19" s="146">
        <f t="shared" si="6"/>
        <v>0</v>
      </c>
      <c r="AH19" s="146">
        <f t="shared" si="6"/>
        <v>144583096.37</v>
      </c>
      <c r="AI19" s="146">
        <f t="shared" si="6"/>
        <v>160510633.43000001</v>
      </c>
      <c r="AJ19" s="146">
        <f t="shared" si="6"/>
        <v>40195098.120000005</v>
      </c>
      <c r="AK19" s="146">
        <f t="shared" si="6"/>
        <v>580036040.63</v>
      </c>
      <c r="AL19" s="146">
        <f t="shared" si="6"/>
        <v>564108503.56999993</v>
      </c>
      <c r="AM19" s="392">
        <f t="shared" si="0"/>
        <v>0.19952977914520634</v>
      </c>
      <c r="AN19" s="392">
        <f t="shared" si="1"/>
        <v>0.22151034279129175</v>
      </c>
      <c r="AO19" s="146">
        <f t="shared" si="6"/>
        <v>1125256600</v>
      </c>
      <c r="AP19" s="146">
        <f t="shared" si="6"/>
        <v>1114671100</v>
      </c>
      <c r="AR19" s="255"/>
      <c r="AS19" s="141"/>
      <c r="AT19" s="141"/>
      <c r="AU19" s="281"/>
      <c r="AV19" s="281"/>
      <c r="AW19" s="281"/>
      <c r="AX19" s="151"/>
    </row>
    <row r="20" spans="1:55" s="132" customFormat="1" ht="14.25" thickTop="1" thickBot="1" x14ac:dyDescent="0.25">
      <c r="A20" s="142"/>
      <c r="B20" s="153"/>
      <c r="C20" s="153"/>
      <c r="D20" s="153"/>
      <c r="E20" s="153"/>
      <c r="F20" s="153"/>
      <c r="G20" s="153"/>
      <c r="H20" s="153"/>
      <c r="I20" s="153"/>
      <c r="J20" s="153"/>
      <c r="K20" s="153"/>
      <c r="L20" s="153"/>
      <c r="M20" s="153"/>
      <c r="N20" s="153"/>
      <c r="O20" s="153"/>
      <c r="P20" s="153"/>
      <c r="Q20" s="153"/>
      <c r="R20" s="153"/>
      <c r="S20" s="153"/>
      <c r="T20" s="153"/>
      <c r="U20" s="153"/>
      <c r="V20" s="153"/>
      <c r="W20" s="153"/>
      <c r="X20" s="153"/>
      <c r="Y20" s="153"/>
      <c r="Z20" s="153"/>
      <c r="AA20" s="153"/>
      <c r="AB20" s="153"/>
      <c r="AC20" s="153"/>
      <c r="AD20" s="153"/>
      <c r="AE20" s="153"/>
      <c r="AF20" s="153"/>
      <c r="AG20" s="153"/>
      <c r="AH20" s="153"/>
      <c r="AI20" s="153"/>
      <c r="AJ20" s="153"/>
      <c r="AK20" s="153"/>
      <c r="AL20" s="153"/>
      <c r="AM20" s="391"/>
      <c r="AN20" s="391"/>
      <c r="AO20" s="153"/>
      <c r="AP20" s="153"/>
      <c r="AR20" s="257"/>
      <c r="AS20" s="141"/>
      <c r="AT20" s="141"/>
      <c r="AU20" s="281"/>
      <c r="AV20" s="281"/>
      <c r="AW20" s="281"/>
    </row>
    <row r="21" spans="1:55" s="132" customFormat="1" ht="14.25" thickTop="1" thickBot="1" x14ac:dyDescent="0.25">
      <c r="A21" s="145" t="s">
        <v>313</v>
      </c>
      <c r="B21" s="152">
        <f t="shared" ref="B21:AS21" si="7">+B19+B7</f>
        <v>272144583</v>
      </c>
      <c r="C21" s="152">
        <f t="shared" si="7"/>
        <v>272144583</v>
      </c>
      <c r="D21" s="152">
        <f t="shared" si="7"/>
        <v>294023214.88</v>
      </c>
      <c r="E21" s="152">
        <f t="shared" si="7"/>
        <v>12199892</v>
      </c>
      <c r="F21" s="245">
        <f t="shared" si="7"/>
        <v>306223106.88</v>
      </c>
      <c r="G21" s="152">
        <f t="shared" si="7"/>
        <v>0</v>
      </c>
      <c r="H21" s="152">
        <f t="shared" si="7"/>
        <v>942007423</v>
      </c>
      <c r="I21" s="152">
        <f t="shared" si="7"/>
        <v>1056484706</v>
      </c>
      <c r="J21" s="152">
        <f t="shared" si="7"/>
        <v>4279296.1500000004</v>
      </c>
      <c r="K21" s="152">
        <f t="shared" si="7"/>
        <v>4585291.8</v>
      </c>
      <c r="L21" s="152">
        <f t="shared" si="7"/>
        <v>36998451.879999995</v>
      </c>
      <c r="M21" s="152">
        <f t="shared" si="7"/>
        <v>40732237.590000004</v>
      </c>
      <c r="N21" s="152">
        <f t="shared" si="7"/>
        <v>63771348.909999996</v>
      </c>
      <c r="O21" s="152">
        <f t="shared" si="7"/>
        <v>69010776.280000001</v>
      </c>
      <c r="P21" s="152">
        <f t="shared" si="7"/>
        <v>82385306.63000001</v>
      </c>
      <c r="Q21" s="152">
        <f t="shared" si="7"/>
        <v>89033634.960000008</v>
      </c>
      <c r="R21" s="152">
        <f t="shared" si="7"/>
        <v>0</v>
      </c>
      <c r="S21" s="152">
        <f t="shared" si="7"/>
        <v>0</v>
      </c>
      <c r="T21" s="152">
        <f t="shared" si="7"/>
        <v>0</v>
      </c>
      <c r="U21" s="152">
        <f t="shared" si="7"/>
        <v>0</v>
      </c>
      <c r="V21" s="152">
        <f t="shared" si="7"/>
        <v>0</v>
      </c>
      <c r="W21" s="152">
        <f t="shared" si="7"/>
        <v>0</v>
      </c>
      <c r="X21" s="152">
        <f t="shared" si="7"/>
        <v>0</v>
      </c>
      <c r="Y21" s="152">
        <f t="shared" si="7"/>
        <v>0</v>
      </c>
      <c r="Z21" s="152">
        <f t="shared" si="7"/>
        <v>0</v>
      </c>
      <c r="AA21" s="152">
        <f t="shared" si="7"/>
        <v>0</v>
      </c>
      <c r="AB21" s="152">
        <f t="shared" si="7"/>
        <v>0</v>
      </c>
      <c r="AC21" s="152">
        <f t="shared" si="7"/>
        <v>0</v>
      </c>
      <c r="AD21" s="152">
        <f t="shared" si="7"/>
        <v>0</v>
      </c>
      <c r="AE21" s="152">
        <f t="shared" si="7"/>
        <v>0</v>
      </c>
      <c r="AF21" s="152">
        <f t="shared" si="7"/>
        <v>0</v>
      </c>
      <c r="AG21" s="152">
        <f t="shared" si="7"/>
        <v>0</v>
      </c>
      <c r="AH21" s="152">
        <f t="shared" si="7"/>
        <v>187434403.56999999</v>
      </c>
      <c r="AI21" s="152">
        <f t="shared" si="7"/>
        <v>203361940.63</v>
      </c>
      <c r="AJ21" s="152">
        <f t="shared" si="7"/>
        <v>87340864.670000017</v>
      </c>
      <c r="AK21" s="152">
        <f t="shared" si="7"/>
        <v>869050302.43000007</v>
      </c>
      <c r="AL21" s="152">
        <f t="shared" si="7"/>
        <v>853122765.36999989</v>
      </c>
      <c r="AM21" s="392">
        <f t="shared" si="0"/>
        <v>0.17741326732466678</v>
      </c>
      <c r="AN21" s="392">
        <f t="shared" si="1"/>
        <v>0.1924892423667513</v>
      </c>
      <c r="AO21" s="152">
        <f t="shared" si="7"/>
        <v>1382127261</v>
      </c>
      <c r="AP21" s="152">
        <f t="shared" si="7"/>
        <v>1385226151</v>
      </c>
      <c r="AQ21" s="152">
        <f t="shared" si="7"/>
        <v>0</v>
      </c>
      <c r="AR21" s="152">
        <f t="shared" si="7"/>
        <v>0</v>
      </c>
      <c r="AS21" s="152">
        <f t="shared" si="7"/>
        <v>0</v>
      </c>
      <c r="AT21" s="307"/>
      <c r="AU21" s="320">
        <f>+H15+AU15</f>
        <v>673289000</v>
      </c>
      <c r="AV21" s="320">
        <f>+AO15+AV15</f>
        <v>1060458000</v>
      </c>
      <c r="AW21" s="320">
        <f>+AP15+AW15</f>
        <v>1063775000</v>
      </c>
      <c r="AX21" s="154"/>
    </row>
    <row r="22" spans="1:55" s="132" customFormat="1" ht="13.5" thickTop="1" x14ac:dyDescent="0.2">
      <c r="A22" s="155"/>
      <c r="B22" s="156"/>
      <c r="C22" s="156"/>
      <c r="D22" s="156"/>
      <c r="E22" s="156"/>
      <c r="F22" s="277"/>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393"/>
      <c r="AN22" s="393"/>
      <c r="AO22" s="156"/>
      <c r="AP22" s="156"/>
      <c r="AQ22" s="156"/>
      <c r="AR22" s="156"/>
      <c r="AS22" s="156"/>
      <c r="AT22" s="307"/>
      <c r="AU22" s="323"/>
      <c r="AV22" s="323"/>
      <c r="AW22" s="323"/>
      <c r="AX22" s="154"/>
    </row>
    <row r="23" spans="1:55" s="132" customFormat="1" x14ac:dyDescent="0.2">
      <c r="A23" s="155"/>
      <c r="B23" s="156"/>
      <c r="C23" s="156"/>
      <c r="D23" s="156"/>
      <c r="E23" s="156"/>
      <c r="F23" s="277"/>
      <c r="G23" s="156"/>
      <c r="H23" s="156"/>
      <c r="I23" s="156"/>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393"/>
      <c r="AN23" s="393"/>
      <c r="AO23" s="156"/>
      <c r="AP23" s="156"/>
      <c r="AQ23" s="156"/>
      <c r="AR23" s="156"/>
      <c r="AS23" s="156"/>
      <c r="AT23" s="307"/>
      <c r="AU23" s="323"/>
      <c r="AV23" s="323"/>
      <c r="AW23" s="323"/>
      <c r="AX23" s="154"/>
    </row>
    <row r="24" spans="1:55" s="132" customFormat="1" ht="72" x14ac:dyDescent="0.2">
      <c r="A24" s="402" t="s">
        <v>224</v>
      </c>
      <c r="B24" s="137" t="s">
        <v>298</v>
      </c>
      <c r="C24" s="137" t="s">
        <v>299</v>
      </c>
      <c r="D24" s="137" t="s">
        <v>300</v>
      </c>
      <c r="E24" s="137" t="s">
        <v>291</v>
      </c>
      <c r="F24" s="137" t="s">
        <v>292</v>
      </c>
      <c r="G24" s="139" t="s">
        <v>301</v>
      </c>
      <c r="H24" s="139" t="s">
        <v>615</v>
      </c>
      <c r="I24" s="139" t="s">
        <v>695</v>
      </c>
      <c r="J24" s="389" t="s">
        <v>589</v>
      </c>
      <c r="K24" s="389" t="s">
        <v>590</v>
      </c>
      <c r="L24" s="389" t="s">
        <v>591</v>
      </c>
      <c r="M24" s="389" t="s">
        <v>592</v>
      </c>
      <c r="N24" s="389" t="s">
        <v>593</v>
      </c>
      <c r="O24" s="389" t="s">
        <v>594</v>
      </c>
      <c r="P24" s="389" t="s">
        <v>595</v>
      </c>
      <c r="Q24" s="389" t="s">
        <v>596</v>
      </c>
      <c r="R24" s="389" t="s">
        <v>597</v>
      </c>
      <c r="S24" s="389" t="s">
        <v>598</v>
      </c>
      <c r="T24" s="389" t="s">
        <v>599</v>
      </c>
      <c r="U24" s="389" t="s">
        <v>600</v>
      </c>
      <c r="V24" s="389" t="s">
        <v>602</v>
      </c>
      <c r="W24" s="389" t="s">
        <v>603</v>
      </c>
      <c r="X24" s="389" t="s">
        <v>604</v>
      </c>
      <c r="Y24" s="389" t="s">
        <v>605</v>
      </c>
      <c r="Z24" s="389" t="s">
        <v>606</v>
      </c>
      <c r="AA24" s="389" t="s">
        <v>607</v>
      </c>
      <c r="AB24" s="389" t="s">
        <v>609</v>
      </c>
      <c r="AC24" s="389" t="s">
        <v>608</v>
      </c>
      <c r="AD24" s="389" t="s">
        <v>610</v>
      </c>
      <c r="AE24" s="389" t="s">
        <v>611</v>
      </c>
      <c r="AF24" s="389" t="s">
        <v>612</v>
      </c>
      <c r="AG24" s="389" t="s">
        <v>613</v>
      </c>
      <c r="AH24" s="389" t="s">
        <v>203</v>
      </c>
      <c r="AI24" s="389" t="s">
        <v>617</v>
      </c>
      <c r="AJ24" s="389" t="s">
        <v>220</v>
      </c>
      <c r="AK24" s="389" t="s">
        <v>618</v>
      </c>
      <c r="AL24" s="389" t="s">
        <v>619</v>
      </c>
      <c r="AM24" s="389" t="s">
        <v>620</v>
      </c>
      <c r="AN24" s="389" t="s">
        <v>621</v>
      </c>
      <c r="AO24" s="156"/>
      <c r="AP24" s="156"/>
      <c r="AQ24" s="156"/>
      <c r="AR24" s="156"/>
      <c r="AS24" s="156"/>
      <c r="AT24" s="307"/>
      <c r="AU24" s="323"/>
      <c r="AV24" s="323"/>
      <c r="AW24" s="323"/>
      <c r="AX24" s="154"/>
    </row>
    <row r="25" spans="1:55" s="132" customFormat="1" x14ac:dyDescent="0.2">
      <c r="A25" s="169" t="s">
        <v>622</v>
      </c>
      <c r="B25" s="143">
        <f t="array" ref="B25">SUM(IF('2014-2017 Projects'!$C$6:$C$298="1.1 - Office of The Director of Executive Support",'2014-2017 Projects'!$AG$6:$AG$298,0))</f>
        <v>0</v>
      </c>
      <c r="C25" s="143">
        <f t="array" ref="C25">SUM(IF('2014-2017 Projects'!$A$6:$A$298="Municipal Manager's Office",'2014-2017 Projects'!$AG$6:$AG$298,0))</f>
        <v>12750000</v>
      </c>
      <c r="D25" s="143">
        <f t="array" ref="D25">SUM(IF('2014-2017 Projects'!$A$6:$A$298="Municipal Manager's Office",'2014-2017 Projects'!$AG$6:$AG$298,0))</f>
        <v>12750000</v>
      </c>
      <c r="E25" s="143">
        <f t="array" ref="E25">SUM(IF('2014-2017 Projects'!$A$6:$A$298="Municipal Manager's Office",'2014-2017 Projects'!$AH$6:$AH$298,0))</f>
        <v>-10000000</v>
      </c>
      <c r="F25" s="143">
        <f t="array" ref="F25">SUM(IF('2014-2017 Projects'!$A$6:$A$298="Municipal Manager's Office",'2014-2017 Projects'!$AI$6:$AI$298,0))</f>
        <v>2750000</v>
      </c>
      <c r="G25" s="143"/>
      <c r="H25" s="143">
        <f t="array" ref="H25">SUM(IF('2014-2017 Projects'!$C$6:$C$252="1.1 - Office of The Director of Executive Support",'2014-2017 Projects'!$AK$6:$AK$252,0))</f>
        <v>500000</v>
      </c>
      <c r="I25" s="143">
        <f t="array" ref="I25">SUM(IF('2014-2017 Projects'!$C$6:$C$252="1.1 - Office of The Director of Executive Support",'2014-2017 Projects'!$AM$6:$AM$252,0))</f>
        <v>6270397</v>
      </c>
      <c r="J25" s="143">
        <f t="array" ref="J25">SUM(IF('2014-2017 Projects'!$C$6:$C$252="1.1 - Office of The Director of Executive Support",'2014-2017 Projects'!$AN$6:$AN$252,0))</f>
        <v>0</v>
      </c>
      <c r="K25" s="143">
        <f t="array" ref="K25">SUM(IF('2014-2017 Projects'!$C$6:$C$252="1.1 - Office of The Director of Executive Support",'2014-2017 Projects'!$AP$6:$AP$252,0))</f>
        <v>0</v>
      </c>
      <c r="L25" s="143">
        <f t="array" ref="L25">SUM(IF('2014-2017 Projects'!$C$6:$C$252="1.1 - Office of The Director of Executive Support",'2014-2017 Projects'!$AQ$6:$AQ$252,0))</f>
        <v>0</v>
      </c>
      <c r="M25" s="143">
        <f t="array" ref="M25">SUM(IF('2014-2017 Projects'!$C$6:$C$252="1.1 - Office of The Director of Executive Support",'2014-2017 Projects'!$AS$6:$AS$252,0))</f>
        <v>0</v>
      </c>
      <c r="N25" s="143">
        <f t="array" ref="N25">SUM(IF('2014-2017 Projects'!$C$6:$C$252="1.1 - Office of The Director of Executive Support",'2014-2017 Projects'!$AT$6:$AT$252,0))</f>
        <v>0</v>
      </c>
      <c r="O25" s="143">
        <f t="array" ref="O25">SUM(IF('2014-2017 Projects'!$C$6:$C$252="1.1 - Office of The Director of Executive Support",'2014-2017 Projects'!$AV$6:$AV$252,0))</f>
        <v>0</v>
      </c>
      <c r="P25" s="143">
        <f t="array" ref="P25">SUM(IF('2014-2017 Projects'!$C$6:$C$252="1.1 - Office of The Director of Executive Support",'2014-2017 Projects'!$AW$6:$AW$252,0))</f>
        <v>279834.11000000004</v>
      </c>
      <c r="Q25" s="143">
        <f t="array" ref="Q25">SUM(IF('2014-2017 Projects'!$C$6:$C$252="1.1 - Office of The Director of Executive Support",'2014-2017 Projects'!$AY$6:$AY$252,0))</f>
        <v>279834.11000000004</v>
      </c>
      <c r="R25" s="143"/>
      <c r="S25" s="143"/>
      <c r="T25" s="143"/>
      <c r="U25" s="143"/>
      <c r="V25" s="143"/>
      <c r="W25" s="143"/>
      <c r="X25" s="143"/>
      <c r="Y25" s="143"/>
      <c r="Z25" s="143"/>
      <c r="AA25" s="143"/>
      <c r="AB25" s="143"/>
      <c r="AC25" s="143"/>
      <c r="AD25" s="143"/>
      <c r="AE25" s="143"/>
      <c r="AF25" s="143"/>
      <c r="AG25" s="143"/>
      <c r="AH25" s="143">
        <f t="array" ref="AH25">SUM(IF('2014-2017 Projects'!$C$6:$C$252="1.1 - Office of The Director of Executive Support",'2014-2017 Projects'!$BY$6:$BY$252,0))</f>
        <v>279834.11000000004</v>
      </c>
      <c r="AI25" s="143">
        <f t="array" ref="AI25">SUM(IF('2014-2017 Projects'!$C$6:$C$252="1.1 - Office of The Director of Executive Support",'2014-2017 Projects'!$BZ$6:$BZ$252,0))</f>
        <v>279834.11000000004</v>
      </c>
      <c r="AJ25" s="143">
        <f t="array" ref="AJ25">SUM(IF('2014-2017 Projects'!$C$6:$C$252="1.1 - Office of The Director of Executive Support",'2014-2017 Projects'!$BX$6:$BX$252,0))</f>
        <v>10235.219999999999</v>
      </c>
      <c r="AK25" s="143">
        <f>I25-AH25</f>
        <v>5990562.8899999997</v>
      </c>
      <c r="AL25" s="143">
        <f>I25-AI25</f>
        <v>5990562.8899999997</v>
      </c>
      <c r="AM25" s="390">
        <f t="shared" ref="AM25:AM28" si="8">AH25/H25</f>
        <v>0.55966822000000005</v>
      </c>
      <c r="AN25" s="390">
        <f t="shared" ref="AN25:AN28" si="9">AI25/H25</f>
        <v>0.55966822000000005</v>
      </c>
      <c r="AO25" s="156"/>
      <c r="AP25" s="156"/>
      <c r="AQ25" s="156"/>
      <c r="AR25" s="156"/>
      <c r="AS25" s="156"/>
      <c r="AT25" s="307"/>
      <c r="AU25" s="323"/>
      <c r="AV25" s="323"/>
      <c r="AW25" s="323"/>
      <c r="AX25" s="154"/>
    </row>
    <row r="26" spans="1:55" s="132" customFormat="1" x14ac:dyDescent="0.2">
      <c r="A26" s="169" t="s">
        <v>623</v>
      </c>
      <c r="B26" s="143">
        <f t="array" ref="B26">SUM(IF('2014-2017 Projects'!$A$6:$A$277="Chief Operations Officer",'2014-2017 Projects'!$AG$6:$AG$277,0))</f>
        <v>0</v>
      </c>
      <c r="C26" s="143">
        <f t="array" ref="C26">SUM(IF('2014-2017 Projects'!$A$6:$A$277="Chief Operations Officer",'2014-2017 Projects'!$AG$6:$AG$277,0))</f>
        <v>0</v>
      </c>
      <c r="D26" s="143">
        <f t="array" ref="D26">SUM(IF('2014-2017 Projects'!$A$6:$A$277="Chief Operations Officer",'2014-2017 Projects'!$AG$6:$AG$277,0))</f>
        <v>0</v>
      </c>
      <c r="E26" s="143">
        <f t="array" ref="E26">SUM(IF('2014-2017 Projects'!$A$6:$A$277="Chief Operations Officer",'2014-2017 Projects'!$AH$6:$AH$277,0))</f>
        <v>0</v>
      </c>
      <c r="F26" s="143">
        <f t="array" ref="F26">SUM(IF('2014-2017 Projects'!$A$6:$A$277="Chief Operations Officer",'2014-2017 Projects'!$AI$6:$AI$277,0))</f>
        <v>0</v>
      </c>
      <c r="G26" s="143">
        <f t="array" ref="G26">SUM(IF('2014-2017 Projects'!$A$6:$A$277="Chief Operations Officer",'2014-2017 Projects'!$AG$6:$AG$277,0))</f>
        <v>0</v>
      </c>
      <c r="H26" s="143">
        <f t="array" ref="H26">SUM(IF('2014-2017 Projects'!$C$6:$C$252="1.11 - Development Co-Operation",'2014-2017 Projects'!$AK$6:$AK$252,0))</f>
        <v>0</v>
      </c>
      <c r="I26" s="143">
        <f t="array" ref="I26">SUM(IF('2014-2017 Projects'!$C$6:$C$252="1.11 - Development Co-Operation",'2014-2017 Projects'!$AM$6:$AM$252,0))</f>
        <v>458860</v>
      </c>
      <c r="J26" s="143">
        <f t="array" ref="J26">SUM(IF('2014-2017 Projects'!$C$6:$C$252="1.11 - Development Co-Operation",'2014-2017 Projects'!$AN$6:$AN$252,0))</f>
        <v>0</v>
      </c>
      <c r="K26" s="143">
        <f t="array" ref="K26">SUM(IF('2014-2017 Projects'!$C$6:$C$252="1.11 - Development Co-Operation",'2014-2017 Projects'!$AP$6:$AP$252,0))</f>
        <v>0</v>
      </c>
      <c r="L26" s="143">
        <f t="array" ref="L26">SUM(IF('2014-2017 Projects'!$C$6:$C$252="1.11 - Development Co-Operation",'2014-2017 Projects'!$AQ$6:$AQ$252,0))</f>
        <v>0</v>
      </c>
      <c r="M26" s="143">
        <f t="array" ref="M26">SUM(IF('2014-2017 Projects'!$C$6:$C$252="1.11 - Development Co-Operation",'2014-2017 Projects'!$AS$6:$AS$252,0))</f>
        <v>0</v>
      </c>
      <c r="N26" s="143">
        <f t="array" ref="N26">SUM(IF('2014-2017 Projects'!$C$6:$C$252="1.11 - Development Co-Operation",'2014-2017 Projects'!$AT$6:$AT$252,0))</f>
        <v>0</v>
      </c>
      <c r="O26" s="143">
        <f t="array" ref="O26">SUM(IF('2014-2017 Projects'!$C$6:$C$252="1.11 - Development Co-Operation",'2014-2017 Projects'!$AV$6:$AV$252,0))</f>
        <v>0</v>
      </c>
      <c r="P26" s="143">
        <f t="array" ref="P26">SUM(IF('2014-2017 Projects'!$C$6:$C$252="1.11 - Development Co-Operation",'2014-2017 Projects'!$AW$6:$AW$252,0))</f>
        <v>0</v>
      </c>
      <c r="Q26" s="143">
        <f t="array" ref="Q26">SUM(IF('2014-2017 Projects'!$C$6:$C$252="1.11 - Development Co-Operation",'2014-2017 Projects'!$AY$6:$AY$252,0))</f>
        <v>0</v>
      </c>
      <c r="R26" s="143"/>
      <c r="S26" s="143"/>
      <c r="T26" s="143"/>
      <c r="U26" s="143"/>
      <c r="V26" s="143"/>
      <c r="W26" s="143"/>
      <c r="X26" s="143"/>
      <c r="Y26" s="143"/>
      <c r="Z26" s="143"/>
      <c r="AA26" s="143"/>
      <c r="AB26" s="143"/>
      <c r="AC26" s="143"/>
      <c r="AD26" s="143"/>
      <c r="AE26" s="143"/>
      <c r="AF26" s="143"/>
      <c r="AG26" s="143"/>
      <c r="AH26" s="143">
        <f t="array" ref="AH26">SUM(IF('2014-2017 Projects'!$C$6:$C$252="1.11 - Development Co-Operation",'2014-2017 Projects'!$BY$6:$BY$252,0))</f>
        <v>0</v>
      </c>
      <c r="AI26" s="143">
        <f t="array" ref="AI26">SUM(IF('2014-2017 Projects'!$C$6:$C$252="1.11 - Development Co-Operation",'2014-2017 Projects'!$BZ$6:$BZ$252,0))</f>
        <v>0</v>
      </c>
      <c r="AJ26" s="143">
        <f t="array" ref="AJ26">SUM(IF('2014-2017 Projects'!$C$6:$C$252="1.11 - Development Co-Operation",'2014-2017 Projects'!$BX$6:$BX$252,0))</f>
        <v>0</v>
      </c>
      <c r="AK26" s="143">
        <f t="shared" ref="AK26:AK85" si="10">I26-AH26</f>
        <v>458860</v>
      </c>
      <c r="AL26" s="143">
        <f t="shared" ref="AL26:AL85" si="11">I26-AI26</f>
        <v>458860</v>
      </c>
      <c r="AM26" s="390" t="e">
        <f t="shared" si="8"/>
        <v>#DIV/0!</v>
      </c>
      <c r="AN26" s="390" t="e">
        <f t="shared" si="9"/>
        <v>#DIV/0!</v>
      </c>
      <c r="AO26" s="156"/>
      <c r="AP26" s="156"/>
      <c r="AQ26" s="156"/>
      <c r="AR26" s="156"/>
      <c r="AS26" s="156"/>
      <c r="AT26" s="307"/>
      <c r="AU26" s="323"/>
      <c r="AV26" s="323"/>
      <c r="AW26" s="323"/>
      <c r="AX26" s="154"/>
      <c r="BC26" s="447"/>
    </row>
    <row r="27" spans="1:55" s="132" customFormat="1" x14ac:dyDescent="0.2">
      <c r="A27" s="169" t="s">
        <v>624</v>
      </c>
      <c r="B27" s="143">
        <f t="array" ref="B27">SUM(IF('2014-2017 Projects'!$A$6:$A$277="Financial Services",'2014-2017 Projects'!$AG$6:$AG$277,0))</f>
        <v>0</v>
      </c>
      <c r="C27" s="143">
        <f t="array" ref="C27">SUM(IF('2014-2017 Projects'!$A$6:$A$277="Financial Services",'2014-2017 Projects'!$AG$6:$AG$277,0))</f>
        <v>0</v>
      </c>
      <c r="D27" s="143">
        <f t="array" ref="D27">SUM(IF('2014-2017 Projects'!$A$6:$A$277="Financial Services",'2014-2017 Projects'!$AG$6:$AG$277,0))</f>
        <v>0</v>
      </c>
      <c r="E27" s="143">
        <f t="array" ref="E27">SUM(IF('2014-2017 Projects'!$A$6:$A$277="Financial Services",'2014-2017 Projects'!$AH$6:$AH$277,0))</f>
        <v>0</v>
      </c>
      <c r="F27" s="143">
        <f t="array" ref="F27">SUM(IF('2014-2017 Projects'!$A$6:$A$277="Financial Services",'2014-2017 Projects'!$AI$6:$AI$277,0))</f>
        <v>0</v>
      </c>
      <c r="G27" s="143"/>
      <c r="H27" s="143">
        <f t="array" ref="H27">SUM(IF('2014-2017 Projects'!$C$6:$C$252="1.2 - Executive Mayor, Speaker &amp; Mayoral Committee",'2014-2017 Projects'!$AK$6:$AK$252,0))</f>
        <v>0</v>
      </c>
      <c r="I27" s="143">
        <f t="array" ref="I27">SUM(IF('2014-2017 Projects'!$C$6:$C$252="1.2 - Executive Mayor, Speaker &amp; Mayoral Committee",'2014-2017 Projects'!$AM$6:$AM$252,0))</f>
        <v>0</v>
      </c>
      <c r="J27" s="143">
        <f t="array" ref="J27">SUM(IF('2014-2017 Projects'!$C$6:$C$252="1.2 - Executive Mayor, Speaker &amp; Mayoral Committee",'2014-2017 Projects'!$AN$6:$AN$252,0))</f>
        <v>0</v>
      </c>
      <c r="K27" s="143">
        <f t="array" ref="K27">SUM(IF('2014-2017 Projects'!$C$6:$C$252="1.2 - Executive Mayor, Speaker &amp; Mayoral Committee",'2014-2017 Projects'!$AP$6:$AP$252,0))</f>
        <v>0</v>
      </c>
      <c r="L27" s="143">
        <f t="array" ref="L27">SUM(IF('2014-2017 Projects'!$C$6:$C$252="1.2 - Executive Mayor, Speaker &amp; Mayoral Committee",'2014-2017 Projects'!$AQ$6:$AQ$252,0))</f>
        <v>0</v>
      </c>
      <c r="M27" s="143">
        <f t="array" ref="M27">SUM(IF('2014-2017 Projects'!$C$6:$C$252="1.2 - Executive Mayor, Speaker &amp; Mayoral Committee",'2014-2017 Projects'!$AS$6:$AS$252,0))</f>
        <v>0</v>
      </c>
      <c r="N27" s="143">
        <f t="array" ref="N27">SUM(IF('2014-2017 Projects'!$C$6:$C$252="1.2 - Executive Mayor, Speaker &amp; Mayoral Committee",'2014-2017 Projects'!$AT$6:$AT$252,0))</f>
        <v>0</v>
      </c>
      <c r="O27" s="143">
        <f t="array" ref="O27">SUM(IF('2014-2017 Projects'!$C$6:$C$252="1.2 - Executive Mayor, Speaker &amp; Mayoral Committee",'2014-2017 Projects'!$AV$6:$AV$252,0))</f>
        <v>0</v>
      </c>
      <c r="P27" s="143">
        <f t="array" ref="P27">SUM(IF('2014-2017 Projects'!$C$6:$C$252="1.2 - Executive Mayor, Speaker &amp; Mayoral Committee",'2014-2017 Projects'!$AW$6:$AW$252,0))</f>
        <v>0</v>
      </c>
      <c r="Q27" s="143">
        <f t="array" ref="Q27">SUM(IF('2014-2017 Projects'!$C$6:$C$252="1.2 - Executive Mayor, Speaker &amp; Mayoral Committee",'2014-2017 Projects'!$AY$6:$AY$252,0))</f>
        <v>0</v>
      </c>
      <c r="R27" s="143"/>
      <c r="S27" s="143"/>
      <c r="T27" s="143"/>
      <c r="U27" s="143"/>
      <c r="V27" s="143"/>
      <c r="W27" s="143"/>
      <c r="X27" s="143"/>
      <c r="Y27" s="143"/>
      <c r="Z27" s="143"/>
      <c r="AA27" s="143"/>
      <c r="AB27" s="143"/>
      <c r="AC27" s="143"/>
      <c r="AD27" s="143"/>
      <c r="AE27" s="143"/>
      <c r="AF27" s="143"/>
      <c r="AG27" s="143"/>
      <c r="AH27" s="143">
        <f t="array" ref="AH27">SUM(IF('2014-2017 Projects'!$C$6:$C$252="1.2 - Executive Mayor, Speaker &amp; Mayoral Committee",'2014-2017 Projects'!$BY$6:$BY$252,0))</f>
        <v>0</v>
      </c>
      <c r="AI27" s="143">
        <f t="array" ref="AI27">SUM(IF('2014-2017 Projects'!$C$6:$C$252="1.2 - Executive Mayor, Speaker &amp; Mayoral Committee",'2014-2017 Projects'!$BZ$6:$BZ$252,0))</f>
        <v>0</v>
      </c>
      <c r="AJ27" s="143">
        <f t="array" ref="AJ27">SUM(IF('2014-2017 Projects'!$C$6:$C$252="1.2 - Executive Mayor, Speaker &amp; Mayoral Committee",'2014-2017 Projects'!$BX$6:$BX$252,0))</f>
        <v>0</v>
      </c>
      <c r="AK27" s="143">
        <f t="shared" si="10"/>
        <v>0</v>
      </c>
      <c r="AL27" s="143">
        <f t="shared" si="11"/>
        <v>0</v>
      </c>
      <c r="AM27" s="390" t="e">
        <f t="shared" si="8"/>
        <v>#DIV/0!</v>
      </c>
      <c r="AN27" s="390" t="e">
        <f t="shared" si="9"/>
        <v>#DIV/0!</v>
      </c>
      <c r="AO27" s="156"/>
      <c r="AP27" s="156"/>
      <c r="AQ27" s="156"/>
      <c r="AR27" s="156"/>
      <c r="AS27" s="156"/>
      <c r="AT27" s="307"/>
      <c r="AU27" s="323"/>
      <c r="AV27" s="323"/>
      <c r="AW27" s="323"/>
      <c r="AX27" s="154"/>
    </row>
    <row r="28" spans="1:55" s="132" customFormat="1" x14ac:dyDescent="0.2">
      <c r="A28" s="169" t="s">
        <v>625</v>
      </c>
      <c r="B28" s="143">
        <f t="array" ref="B28">SUM(IF('2014-2017 Projects'!$A$6:$A$277="Corporate Services",'2014-2017 Projects'!$AG$6:$AG$277,0))</f>
        <v>6600000</v>
      </c>
      <c r="C28" s="143">
        <f t="array" ref="C28">SUM(IF('2014-2017 Projects'!$A$6:$A$277="Corporate Services",'2014-2017 Projects'!$AG$6:$AG$277,0))</f>
        <v>6600000</v>
      </c>
      <c r="D28" s="143">
        <f t="array" ref="D28">SUM(IF('2014-2017 Projects'!$A$6:$A$277="Corporate Services",'2014-2017 Projects'!$AG$6:$AG$277,0))</f>
        <v>6600000</v>
      </c>
      <c r="E28" s="143">
        <f t="array" ref="E28">SUM(IF('2014-2017 Projects'!$A$6:$A$277="Corporate Services",'2014-2017 Projects'!$AH$6:$AH$277,0))</f>
        <v>0</v>
      </c>
      <c r="F28" s="143">
        <f t="array" ref="F28">SUM(IF('2014-2017 Projects'!$A$6:$A$277="Corporate Services",'2014-2017 Projects'!$AI$6:$AI$277,0))</f>
        <v>6600000</v>
      </c>
      <c r="G28" s="143"/>
      <c r="H28" s="143">
        <f t="array" ref="H28">SUM(IF('2014-2017 Projects'!$C$6:$C$252="1.8 - City Hall",'2014-2017 Projects'!$AK$6:$AK$252,0))</f>
        <v>0</v>
      </c>
      <c r="I28" s="143">
        <f t="array" ref="I28">SUM(IF('2014-2017 Projects'!$C$6:$C$252="1.8 - City Hall",'2014-2017 Projects'!$AM$6:$AM$252,0))</f>
        <v>0</v>
      </c>
      <c r="J28" s="143">
        <f t="array" ref="J28">SUM(IF('2014-2017 Projects'!$C$6:$C$252="1.8 - City Hall",'2014-2017 Projects'!$AN$6:$AN$252,0))</f>
        <v>0</v>
      </c>
      <c r="K28" s="143">
        <f t="array" ref="K28">SUM(IF('2014-2017 Projects'!$C$6:$C$252="1.8 - City Hall",'2014-2017 Projects'!$AP$6:$AP$252,0))</f>
        <v>0</v>
      </c>
      <c r="L28" s="143">
        <f t="array" ref="L28">SUM(IF('2014-2017 Projects'!$C$6:$C$252="1.8 - City Hall",'2014-2017 Projects'!$AQ$6:$AQ$252,0))</f>
        <v>0</v>
      </c>
      <c r="M28" s="143">
        <f t="array" ref="M28">SUM(IF('2014-2017 Projects'!$C$6:$C$252="1.8 - City Hall",'2014-2017 Projects'!$AS$6:$AS$252,0))</f>
        <v>0</v>
      </c>
      <c r="N28" s="143">
        <f t="array" ref="N28">SUM(IF('2014-2017 Projects'!$C$6:$C$252="1.8 - City Hall",'2014-2017 Projects'!$AT$6:$AT$252,0))</f>
        <v>0</v>
      </c>
      <c r="O28" s="143">
        <f t="array" ref="O28">SUM(IF('2014-2017 Projects'!$C$6:$C$252="1.8 - City Hall",'2014-2017 Projects'!$AV$6:$AV$252,0))</f>
        <v>0</v>
      </c>
      <c r="P28" s="143">
        <f t="array" ref="P28">SUM(IF('2014-2017 Projects'!$C$6:$C$252="1.8 - City Hall",'2014-2017 Projects'!$AW$6:$AW$252,0))</f>
        <v>0</v>
      </c>
      <c r="Q28" s="143">
        <f t="array" ref="Q28">SUM(IF('2014-2017 Projects'!$C$6:$C$252="1.8 - City Hall",'2014-2017 Projects'!$AY$6:$AY$252,0))</f>
        <v>0</v>
      </c>
      <c r="R28" s="143"/>
      <c r="S28" s="143"/>
      <c r="T28" s="143"/>
      <c r="U28" s="143"/>
      <c r="V28" s="143"/>
      <c r="W28" s="143"/>
      <c r="X28" s="143"/>
      <c r="Y28" s="143"/>
      <c r="Z28" s="143"/>
      <c r="AA28" s="143"/>
      <c r="AB28" s="143"/>
      <c r="AC28" s="143"/>
      <c r="AD28" s="143"/>
      <c r="AE28" s="143"/>
      <c r="AF28" s="143"/>
      <c r="AG28" s="143"/>
      <c r="AH28" s="143">
        <f t="array" ref="AH28">SUM(IF('2014-2017 Projects'!$C$6:$C$252="1.8 - City Hall",'2014-2017 Projects'!$BY$6:$BY$252,0))</f>
        <v>0</v>
      </c>
      <c r="AI28" s="143">
        <f t="array" ref="AI28">SUM(IF('2014-2017 Projects'!$C$6:$C$252="1.8 - City Hall",'2014-2017 Projects'!$BZ$6:$BZ$252,0))</f>
        <v>0</v>
      </c>
      <c r="AJ28" s="143">
        <f t="array" ref="AJ28">SUM(IF('2014-2017 Projects'!$C$6:$C$252="1.8 - City Hall",'2014-2017 Projects'!$BX$6:$BX$252,0))</f>
        <v>0</v>
      </c>
      <c r="AK28" s="143">
        <f t="shared" si="10"/>
        <v>0</v>
      </c>
      <c r="AL28" s="143">
        <f t="shared" si="11"/>
        <v>0</v>
      </c>
      <c r="AM28" s="390" t="e">
        <f t="shared" si="8"/>
        <v>#DIV/0!</v>
      </c>
      <c r="AN28" s="390" t="e">
        <f t="shared" si="9"/>
        <v>#DIV/0!</v>
      </c>
      <c r="AO28" s="156"/>
      <c r="AP28" s="156"/>
      <c r="AQ28" s="156"/>
      <c r="AR28" s="156"/>
      <c r="AS28" s="156"/>
      <c r="AT28" s="307"/>
      <c r="AU28" s="323"/>
      <c r="AV28" s="323"/>
      <c r="AW28" s="323"/>
      <c r="AX28" s="154"/>
    </row>
    <row r="29" spans="1:55" s="132" customFormat="1" x14ac:dyDescent="0.2">
      <c r="A29" s="169" t="s">
        <v>225</v>
      </c>
      <c r="B29" s="143">
        <f t="array" ref="B29">SUM(IF('2014-2017 Projects'!$A$6:$A$298="Municipal Manager's Office",'2014-2017 Projects'!$AG$6:$AG$298,0))</f>
        <v>12750000</v>
      </c>
      <c r="C29" s="143">
        <f t="array" ref="C29">SUM(IF('2014-2017 Projects'!$A$6:$A$298="Municipal Manager's Office",'2014-2017 Projects'!$AG$6:$AG$298,0))</f>
        <v>12750000</v>
      </c>
      <c r="D29" s="143">
        <f t="array" ref="D29">SUM(IF('2014-2017 Projects'!$A$6:$A$298="Municipal Manager's Office",'2014-2017 Projects'!$AG$6:$AG$298,0))</f>
        <v>12750000</v>
      </c>
      <c r="E29" s="143">
        <f t="array" ref="E29">SUM(IF('2014-2017 Projects'!$A$6:$A$298="Municipal Manager's Office",'2014-2017 Projects'!$AH$6:$AH$298,0))</f>
        <v>-10000000</v>
      </c>
      <c r="F29" s="143">
        <f t="array" ref="F29">SUM(IF('2014-2017 Projects'!$A$6:$A$298="Municipal Manager's Office",'2014-2017 Projects'!$AI$6:$AI$298,0))</f>
        <v>2750000</v>
      </c>
      <c r="G29" s="143"/>
      <c r="H29" s="143">
        <f t="array" ref="H29">SUM(IF('2014-2017 Projects'!$C$6:$C$252="2.1 - Office of The Municipal Manager &amp; Support Services",'2014-2017 Projects'!$AK$6:$AK$252,0))</f>
        <v>7000000</v>
      </c>
      <c r="I29" s="143">
        <f t="array" ref="I29">SUM(IF('2014-2017 Projects'!$C$6:$C$252="2.1 - Office of The Municipal Manager &amp; Support Services",'2014-2017 Projects'!$AM$6:$AM$252,0))</f>
        <v>7000000</v>
      </c>
      <c r="J29" s="143">
        <f t="array" ref="J29">SUM(IF('2014-2017 Projects'!$C$6:$C$252="2.1 - Office of The Municipal Manager &amp; Support Services",'2014-2017 Projects'!$AN$6:$AN$252,0))</f>
        <v>0</v>
      </c>
      <c r="K29" s="143">
        <f t="array" ref="K29">SUM(IF('2014-2017 Projects'!$C$6:$C$252="2.1 - Office of The Municipal Manager &amp; Support Services",'2014-2017 Projects'!$AP$6:$AP$252,0))</f>
        <v>0</v>
      </c>
      <c r="L29" s="143">
        <f t="array" ref="L29">SUM(IF('2014-2017 Projects'!$C$6:$C$252="2.1 - Office of The Municipal Manager &amp; Support Services",'2014-2017 Projects'!$AQ$6:$AQ$252,0))</f>
        <v>170805</v>
      </c>
      <c r="M29" s="143">
        <f t="array" ref="M29">SUM(IF('2014-2017 Projects'!$C$6:$C$252="2.1 - Office of The Municipal Manager &amp; Support Services",'2014-2017 Projects'!$AS$6:$AS$252,0))</f>
        <v>194717.7</v>
      </c>
      <c r="N29" s="143">
        <f t="array" ref="N29">SUM(IF('2014-2017 Projects'!$C$6:$C$252="2.1 - Office of The Municipal Manager &amp; Support Services",'2014-2017 Projects'!$AT$6:$AT$252,0))</f>
        <v>107792</v>
      </c>
      <c r="O29" s="143">
        <f t="array" ref="O29">SUM(IF('2014-2017 Projects'!$C$6:$C$252="2.1 - Office of The Municipal Manager &amp; Support Services",'2014-2017 Projects'!$AV$6:$AV$252,0))</f>
        <v>107792</v>
      </c>
      <c r="P29" s="143">
        <f t="array" ref="P29">SUM(IF('2014-2017 Projects'!$C$6:$C$252="2.1 - Office of The Municipal Manager &amp; Support Services",'2014-2017 Projects'!$AW$6:$AW$252,0))</f>
        <v>2712625.98</v>
      </c>
      <c r="Q29" s="143">
        <f t="array" ref="Q29">SUM(IF('2014-2017 Projects'!$C$6:$C$252="2.1 - Office of The Municipal Manager &amp; Support Services",'2014-2017 Projects'!$AY$6:$AY$252,0))</f>
        <v>3089388.19</v>
      </c>
      <c r="R29" s="143"/>
      <c r="S29" s="143"/>
      <c r="T29" s="143"/>
      <c r="U29" s="143"/>
      <c r="V29" s="143"/>
      <c r="W29" s="143"/>
      <c r="X29" s="143"/>
      <c r="Y29" s="143"/>
      <c r="Z29" s="143"/>
      <c r="AA29" s="143"/>
      <c r="AB29" s="143"/>
      <c r="AC29" s="143"/>
      <c r="AD29" s="143"/>
      <c r="AE29" s="143"/>
      <c r="AF29" s="143"/>
      <c r="AG29" s="143"/>
      <c r="AH29" s="143">
        <f t="array" ref="AH29">SUM(IF('2014-2017 Projects'!$C$6:$C$252="2.1 - Office of The Municipal Manager &amp; Support Services",'2014-2017 Projects'!$BY$6:$BY$252,0))</f>
        <v>2991222.98</v>
      </c>
      <c r="AI29" s="143">
        <f t="array" ref="AI29">SUM(IF('2014-2017 Projects'!$C$6:$C$252="2.1 - Office of The Municipal Manager &amp; Support Services",'2014-2017 Projects'!$BZ$6:$BZ$252,0))</f>
        <v>3391897.89</v>
      </c>
      <c r="AJ29" s="143">
        <f t="array" ref="AJ29">SUM(IF('2014-2017 Projects'!$C$6:$C$252="2.1 - Office of The Municipal Manager &amp; Support Services",'2014-2017 Projects'!$BX$6:$BX$252,0))</f>
        <v>314418.87</v>
      </c>
      <c r="AK29" s="143">
        <f t="shared" si="10"/>
        <v>4008777.02</v>
      </c>
      <c r="AL29" s="143">
        <f t="shared" si="11"/>
        <v>3608102.11</v>
      </c>
      <c r="AM29" s="390">
        <f t="shared" ref="AM29:AM85" si="12">AH29/H29</f>
        <v>0.42731756857142855</v>
      </c>
      <c r="AN29" s="390">
        <f t="shared" ref="AN29:AN85" si="13">AI29/H29</f>
        <v>0.48455684142857147</v>
      </c>
      <c r="AO29" s="156"/>
      <c r="AP29" s="156"/>
      <c r="AQ29" s="156"/>
      <c r="AR29" s="156"/>
      <c r="AS29" s="156"/>
      <c r="AT29" s="307"/>
      <c r="AU29" s="323"/>
      <c r="AV29" s="323"/>
      <c r="AW29" s="323"/>
      <c r="AX29" s="154"/>
    </row>
    <row r="30" spans="1:55" s="132" customFormat="1" x14ac:dyDescent="0.2">
      <c r="A30" s="169" t="s">
        <v>643</v>
      </c>
      <c r="B30" s="143"/>
      <c r="C30" s="143"/>
      <c r="D30" s="143"/>
      <c r="E30" s="143"/>
      <c r="F30" s="143"/>
      <c r="G30" s="143"/>
      <c r="H30" s="143">
        <f t="array" ref="H30">SUM(IF('2014-2017 Projects'!$C$6:$C$252="3.1 - Mdantsane Urban Renewal Unit",'2014-2017 Projects'!$AK$6:$AK$252,0))</f>
        <v>10068500</v>
      </c>
      <c r="I30" s="143">
        <f t="array" ref="I30">SUM(IF('2014-2017 Projects'!$C$6:$C$252="3.1 - Mdantsane Urban Renewal Unit",'2014-2017 Projects'!$AM$6:$AM$252,0))</f>
        <v>0</v>
      </c>
      <c r="J30" s="143">
        <f t="array" ref="J30">SUM(IF('2014-2017 Projects'!$C$6:$C$252="3.1 - Mdantsane Urban Renewal Unit",'2014-2017 Projects'!$AN$6:$AN$252,0))</f>
        <v>0</v>
      </c>
      <c r="K30" s="143">
        <f t="array" ref="K30">SUM(IF('2014-2017 Projects'!$C$6:$C$252="3.1 - Mdantsane Urban Renewal Unit",'2014-2017 Projects'!$AP$6:$AP$252,0))</f>
        <v>0</v>
      </c>
      <c r="L30" s="143">
        <f t="array" ref="L30">SUM(IF('2014-2017 Projects'!$C$6:$C$252="3.1 - Mdantsane Urban Renewal Unit",'2014-2017 Projects'!$AQ$6:$AQ$252,0))</f>
        <v>0</v>
      </c>
      <c r="M30" s="143">
        <f t="array" ref="M30">SUM(IF('2014-2017 Projects'!$C$6:$C$252="3.1 - Mdantsane Urban Renewal Unit",'2014-2017 Projects'!$AS$6:$AS$252,0))</f>
        <v>0</v>
      </c>
      <c r="N30" s="143">
        <f t="array" ref="N30">SUM(IF('2014-2017 Projects'!$C$6:$C$252="3.1 - Mdantsane Urban Renewal Unit",'2014-2017 Projects'!$AT$6:$AT$252,0))</f>
        <v>0</v>
      </c>
      <c r="O30" s="143">
        <f t="array" ref="O30">SUM(IF('2014-2017 Projects'!$C$6:$C$252="3.1 - Mdantsane Urban Renewal Unit",'2014-2017 Projects'!$AV$6:$AV$252,0))</f>
        <v>0</v>
      </c>
      <c r="P30" s="143">
        <f t="array" ref="P30">SUM(IF('2014-2017 Projects'!$C$6:$C$252="3.1 - Mdantsane Urban Renewal Unit",'2014-2017 Projects'!$AW$6:$AW$252,0))</f>
        <v>0</v>
      </c>
      <c r="Q30" s="143">
        <f t="array" ref="Q30">SUM(IF('2014-2017 Projects'!$C$6:$C$252="3.1 - Mdantsane Urban Renewal Unit",'2014-2017 Projects'!$AY$6:$AY$252,0))</f>
        <v>0</v>
      </c>
      <c r="R30" s="143"/>
      <c r="S30" s="143"/>
      <c r="T30" s="143"/>
      <c r="U30" s="143"/>
      <c r="V30" s="143"/>
      <c r="W30" s="143"/>
      <c r="X30" s="143"/>
      <c r="Y30" s="143"/>
      <c r="Z30" s="143"/>
      <c r="AA30" s="143"/>
      <c r="AB30" s="143"/>
      <c r="AC30" s="143"/>
      <c r="AD30" s="143"/>
      <c r="AE30" s="143"/>
      <c r="AF30" s="143"/>
      <c r="AG30" s="143"/>
      <c r="AH30" s="143">
        <f t="array" ref="AH30">SUM(IF('2014-2017 Projects'!$C$6:$C$252="3.1 - Mdantsane Urban Renewal Unit",'2014-2017 Projects'!$BY$6:$BY$252,0))</f>
        <v>0</v>
      </c>
      <c r="AI30" s="143">
        <f t="array" ref="AI30">SUM(IF('2014-2017 Projects'!$C$6:$C$252="3.1 - Mdantsane Urban Renewal Unit",'2014-2017 Projects'!$BZ$6:$BZ$252,0))</f>
        <v>0</v>
      </c>
      <c r="AJ30" s="143">
        <f t="array" ref="AJ30">SUM(IF('2014-2017 Projects'!$C$6:$C$252="3.1 - Mdantsane Urban Renewal Unit",'2014-2017 Projects'!$BX$6:$BX$252,0))</f>
        <v>0</v>
      </c>
      <c r="AK30" s="143">
        <f t="shared" si="10"/>
        <v>0</v>
      </c>
      <c r="AL30" s="143">
        <f t="shared" si="11"/>
        <v>0</v>
      </c>
      <c r="AM30" s="390">
        <f t="shared" ref="AM30" si="14">AH30/H30</f>
        <v>0</v>
      </c>
      <c r="AN30" s="390">
        <f t="shared" ref="AN30" si="15">AI30/H30</f>
        <v>0</v>
      </c>
      <c r="AO30" s="156"/>
      <c r="AP30" s="156"/>
      <c r="AQ30" s="156"/>
      <c r="AR30" s="156"/>
      <c r="AS30" s="156"/>
      <c r="AT30" s="307"/>
      <c r="AU30" s="323"/>
      <c r="AV30" s="323"/>
      <c r="AW30" s="323"/>
      <c r="AX30" s="154"/>
    </row>
    <row r="31" spans="1:55" s="132" customFormat="1" x14ac:dyDescent="0.2">
      <c r="A31" s="169" t="s">
        <v>226</v>
      </c>
      <c r="B31" s="143">
        <f t="array" ref="B31">SUM(IF('2014-2017 Projects'!$A$6:$A$277="Chief Operations Officer",'2014-2017 Projects'!$AG$6:$AG$277,0))</f>
        <v>0</v>
      </c>
      <c r="C31" s="143">
        <f t="array" ref="C31">SUM(IF('2014-2017 Projects'!$A$6:$A$277="Chief Operations Officer",'2014-2017 Projects'!$AG$6:$AG$277,0))</f>
        <v>0</v>
      </c>
      <c r="D31" s="143">
        <f t="array" ref="D31">SUM(IF('2014-2017 Projects'!$A$6:$A$277="Chief Operations Officer",'2014-2017 Projects'!$AG$6:$AG$277,0))</f>
        <v>0</v>
      </c>
      <c r="E31" s="143">
        <f t="array" ref="E31">SUM(IF('2014-2017 Projects'!$A$6:$A$277="Chief Operations Officer",'2014-2017 Projects'!$AH$6:$AH$277,0))</f>
        <v>0</v>
      </c>
      <c r="F31" s="143">
        <f t="array" ref="F31">SUM(IF('2014-2017 Projects'!$A$6:$A$277="Chief Operations Officer",'2014-2017 Projects'!$AI$6:$AI$277,0))</f>
        <v>0</v>
      </c>
      <c r="G31" s="143">
        <f t="array" ref="G31">SUM(IF('2014-2017 Projects'!$A$6:$A$277="Chief Operations Officer",'2014-2017 Projects'!$AG$6:$AG$277,0))</f>
        <v>0</v>
      </c>
      <c r="H31" s="143">
        <f t="array" ref="H31">SUM(IF('2014-2017 Projects'!$C$6:$C$252="3.2 - Office of The Chief Operations Officer",'2014-2017 Projects'!$AK$6:$AK$252,0))</f>
        <v>500000</v>
      </c>
      <c r="I31" s="143">
        <f t="array" ref="I31">SUM(IF('2014-2017 Projects'!$C$6:$C$252="3.2 - Office of The Chief Operations Officer",'2014-2017 Projects'!$AM$6:$AM$252,0))</f>
        <v>500000</v>
      </c>
      <c r="J31" s="143">
        <f t="array" ref="J31">SUM(IF('2014-2017 Projects'!$C$6:$C$252="3.2 - Office of The Chief Operations Officer",'2014-2017 Projects'!$AN$6:$AN$252,0))</f>
        <v>0</v>
      </c>
      <c r="K31" s="143">
        <f t="array" ref="K31">SUM(IF('2014-2017 Projects'!$C$6:$C$252="3.2 - Office of The Chief Operations Officer",'2014-2017 Projects'!$AP$6:$AP$252,0))</f>
        <v>0</v>
      </c>
      <c r="L31" s="143">
        <f t="array" ref="L31">SUM(IF('2014-2017 Projects'!$C$6:$C$252="3.2 - Office of The Chief Operations Officer",'2014-2017 Projects'!$AQ$6:$AQ$252,0))</f>
        <v>14706.1</v>
      </c>
      <c r="M31" s="143">
        <f t="array" ref="M31">SUM(IF('2014-2017 Projects'!$C$6:$C$252="3.2 - Office of The Chief Operations Officer",'2014-2017 Projects'!$AS$6:$AS$252,0))</f>
        <v>14706.1</v>
      </c>
      <c r="N31" s="143">
        <f t="array" ref="N31">SUM(IF('2014-2017 Projects'!$C$6:$C$252="3.2 - Office of The Chief Operations Officer",'2014-2017 Projects'!$AT$6:$AT$252,0))</f>
        <v>0</v>
      </c>
      <c r="O31" s="143">
        <f t="array" ref="O31">SUM(IF('2014-2017 Projects'!$C$6:$C$252="3.2 - Office of The Chief Operations Officer",'2014-2017 Projects'!$AV$6:$AV$252,0))</f>
        <v>0</v>
      </c>
      <c r="P31" s="143">
        <f t="array" ref="P31">SUM(IF('2014-2017 Projects'!$C$6:$C$252="3.2 - Office of The Chief Operations Officer",'2014-2017 Projects'!$AW$6:$AW$252,0))</f>
        <v>45043.26</v>
      </c>
      <c r="Q31" s="143">
        <f t="array" ref="Q31">SUM(IF('2014-2017 Projects'!$C$6:$C$252="3.2 - Office of The Chief Operations Officer",'2014-2017 Projects'!$AY$6:$AY$252,0))</f>
        <v>45043.26</v>
      </c>
      <c r="R31" s="143"/>
      <c r="S31" s="143"/>
      <c r="T31" s="143"/>
      <c r="U31" s="143"/>
      <c r="V31" s="143"/>
      <c r="W31" s="143"/>
      <c r="X31" s="143"/>
      <c r="Y31" s="143"/>
      <c r="Z31" s="143"/>
      <c r="AA31" s="143"/>
      <c r="AB31" s="143"/>
      <c r="AC31" s="143"/>
      <c r="AD31" s="143"/>
      <c r="AE31" s="143"/>
      <c r="AF31" s="143"/>
      <c r="AG31" s="143"/>
      <c r="AH31" s="143">
        <f t="array" ref="AH31">SUM(IF('2014-2017 Projects'!$C$6:$C$252="3.2 - Office of The Chief Operations Officer",'2014-2017 Projects'!$BY$6:$BY$252,0))</f>
        <v>59749.36</v>
      </c>
      <c r="AI31" s="143">
        <f t="array" ref="AI31">SUM(IF('2014-2017 Projects'!$C$6:$C$252="3.2 - Office of The Chief Operations Officer",'2014-2017 Projects'!$BZ$6:$BZ$252,0))</f>
        <v>59749.36</v>
      </c>
      <c r="AJ31" s="143">
        <f t="array" ref="AJ31">SUM(IF('2014-2017 Projects'!$C$6:$C$252="3.2 - Office of The Chief Operations Officer",'2014-2017 Projects'!$BX$6:$BX$252,0))</f>
        <v>43417.55</v>
      </c>
      <c r="AK31" s="143">
        <f t="shared" si="10"/>
        <v>440250.64</v>
      </c>
      <c r="AL31" s="143">
        <f t="shared" si="11"/>
        <v>440250.64</v>
      </c>
      <c r="AM31" s="390">
        <f t="shared" si="12"/>
        <v>0.11949872</v>
      </c>
      <c r="AN31" s="390">
        <f t="shared" si="13"/>
        <v>0.11949872</v>
      </c>
      <c r="AO31" s="156"/>
      <c r="AP31" s="156"/>
      <c r="AQ31" s="156"/>
      <c r="AR31" s="156"/>
      <c r="AS31" s="156"/>
      <c r="AT31" s="307"/>
      <c r="AU31" s="323"/>
      <c r="AV31" s="323"/>
      <c r="AW31" s="323"/>
      <c r="AX31" s="154"/>
    </row>
    <row r="32" spans="1:55" s="132" customFormat="1" x14ac:dyDescent="0.2">
      <c r="A32" s="169" t="s">
        <v>227</v>
      </c>
      <c r="B32" s="143">
        <f t="array" ref="B32">SUM(IF('2014-2017 Projects'!$A$6:$A$277="Financial Services",'2014-2017 Projects'!$AG$6:$AG$277,0))</f>
        <v>0</v>
      </c>
      <c r="C32" s="143">
        <f t="array" ref="C32">SUM(IF('2014-2017 Projects'!$A$6:$A$277="Financial Services",'2014-2017 Projects'!$AG$6:$AG$277,0))</f>
        <v>0</v>
      </c>
      <c r="D32" s="143">
        <f t="array" ref="D32">SUM(IF('2014-2017 Projects'!$A$6:$A$277="Financial Services",'2014-2017 Projects'!$AG$6:$AG$277,0))</f>
        <v>0</v>
      </c>
      <c r="E32" s="143">
        <f t="array" ref="E32">SUM(IF('2014-2017 Projects'!$A$6:$A$277="Financial Services",'2014-2017 Projects'!$AH$6:$AH$277,0))</f>
        <v>0</v>
      </c>
      <c r="F32" s="143">
        <f t="array" ref="F32">SUM(IF('2014-2017 Projects'!$A$6:$A$277="Financial Services",'2014-2017 Projects'!$AI$6:$AI$277,0))</f>
        <v>0</v>
      </c>
      <c r="G32" s="143"/>
      <c r="H32" s="143">
        <f t="array" ref="H32">SUM(IF('2014-2017 Projects'!$C$6:$C$252="3.3 - Housing Department",'2014-2017 Projects'!$AK$6:$AK$252,0))</f>
        <v>79567608</v>
      </c>
      <c r="I32" s="143">
        <f t="array" ref="I32">SUM(IF('2014-2017 Projects'!$C$6:$C$252="3.3 - Housing Department",'2014-2017 Projects'!$AM$6:$AM$252,0))</f>
        <v>100305255</v>
      </c>
      <c r="J32" s="143">
        <f t="array" ref="J32">SUM(IF('2014-2017 Projects'!$C$6:$C$252="3.3 - Housing Department",'2014-2017 Projects'!$AN$6:$AN$252,0))</f>
        <v>4419423.2700000005</v>
      </c>
      <c r="K32" s="143">
        <f t="array" ref="K32">SUM(IF('2014-2017 Projects'!$C$6:$C$252="3.3 - Housing Department",'2014-2017 Projects'!$AP$6:$AP$252,0))</f>
        <v>4723842.5200000005</v>
      </c>
      <c r="L32" s="143">
        <f t="array" ref="L32">SUM(IF('2014-2017 Projects'!$C$6:$C$252="3.3 - Housing Department",'2014-2017 Projects'!$AQ$6:$AQ$252,0))</f>
        <v>7514624.7000000011</v>
      </c>
      <c r="M32" s="143">
        <f t="array" ref="M32">SUM(IF('2014-2017 Projects'!$C$6:$C$252="3.3 - Housing Department",'2014-2017 Projects'!$AS$6:$AS$252,0))</f>
        <v>8063055.4700000007</v>
      </c>
      <c r="N32" s="143">
        <f t="array" ref="N32">SUM(IF('2014-2017 Projects'!$C$6:$C$252="3.3 - Housing Department",'2014-2017 Projects'!$AT$6:$AT$252,0))</f>
        <v>9250670.4900000002</v>
      </c>
      <c r="O32" s="143">
        <f t="array" ref="O32">SUM(IF('2014-2017 Projects'!$C$6:$C$252="3.3 - Housing Department",'2014-2017 Projects'!$AV$6:$AV$252,0))</f>
        <v>10022887.199999999</v>
      </c>
      <c r="P32" s="143">
        <f t="array" ref="P32">SUM(IF('2014-2017 Projects'!$C$6:$C$252="3.3 - Housing Department",'2014-2017 Projects'!$AW$6:$AW$252,0))</f>
        <v>14732515.109999999</v>
      </c>
      <c r="Q32" s="143">
        <f t="array" ref="Q32">SUM(IF('2014-2017 Projects'!$C$6:$C$252="3.3 - Housing Department",'2014-2017 Projects'!$AY$6:$AY$252,0))</f>
        <v>15423708.66</v>
      </c>
      <c r="R32" s="143"/>
      <c r="S32" s="143"/>
      <c r="T32" s="143"/>
      <c r="U32" s="143"/>
      <c r="V32" s="143"/>
      <c r="W32" s="143"/>
      <c r="X32" s="143"/>
      <c r="Y32" s="143"/>
      <c r="Z32" s="143"/>
      <c r="AA32" s="143"/>
      <c r="AB32" s="143"/>
      <c r="AC32" s="143"/>
      <c r="AD32" s="143"/>
      <c r="AE32" s="143"/>
      <c r="AF32" s="143"/>
      <c r="AG32" s="143"/>
      <c r="AH32" s="143">
        <f t="array" ref="AH32">SUM(IF('2014-2017 Projects'!$C$6:$C$252="3.3 - Housing Department",'2014-2017 Projects'!$BY$6:$BY$252,0))</f>
        <v>35917233.57</v>
      </c>
      <c r="AI32" s="143">
        <f t="array" ref="AI32">SUM(IF('2014-2017 Projects'!$C$6:$C$252="3.3 - Housing Department",'2014-2017 Projects'!$BZ$6:$BZ$252,0))</f>
        <v>38233493.850000001</v>
      </c>
      <c r="AJ32" s="143">
        <f t="array" ref="AJ32">SUM(IF('2014-2017 Projects'!$C$6:$C$252="3.3 - Housing Department",'2014-2017 Projects'!$BX$6:$BX$252,0))</f>
        <v>226959.32</v>
      </c>
      <c r="AK32" s="143">
        <f t="shared" si="10"/>
        <v>64388021.43</v>
      </c>
      <c r="AL32" s="143">
        <f t="shared" si="11"/>
        <v>62071761.149999999</v>
      </c>
      <c r="AM32" s="390">
        <f t="shared" si="12"/>
        <v>0.45140521969693997</v>
      </c>
      <c r="AN32" s="390">
        <f t="shared" si="13"/>
        <v>0.48051581304291568</v>
      </c>
      <c r="AO32" s="156"/>
      <c r="AP32" s="156"/>
      <c r="AQ32" s="156"/>
      <c r="AR32" s="156"/>
      <c r="AS32" s="156"/>
      <c r="AT32" s="307"/>
      <c r="AU32" s="323"/>
      <c r="AV32" s="323"/>
      <c r="AW32" s="323"/>
      <c r="AX32" s="154"/>
    </row>
    <row r="33" spans="1:50" s="132" customFormat="1" x14ac:dyDescent="0.2">
      <c r="A33" s="403" t="s">
        <v>644</v>
      </c>
      <c r="B33" s="143"/>
      <c r="C33" s="143"/>
      <c r="D33" s="143"/>
      <c r="E33" s="143"/>
      <c r="F33" s="143"/>
      <c r="G33" s="143"/>
      <c r="H33" s="143">
        <f t="array" ref="H33">SUM(IF('2014-2017 Projects'!$C$6:$C$252="4.1 - Office of The Director of Finance",'2014-2017 Projects'!$AK$6:$AK$252,0))</f>
        <v>500000</v>
      </c>
      <c r="I33" s="143">
        <f t="array" ref="I33">SUM(IF('2014-2017 Projects'!$C$6:$C$252="4.1 - Office of The Director of Finance",'2014-2017 Projects'!$AM$6:$AM$252,0))</f>
        <v>931902</v>
      </c>
      <c r="J33" s="143">
        <f t="array" ref="J33">SUM(IF('2014-2017 Projects'!$C$6:$C$252="4.1 - Office of The Director of Finance",'2014-2017 Projects'!$AN$6:$AN$252,0))</f>
        <v>19074.32</v>
      </c>
      <c r="K33" s="143">
        <f t="array" ref="K33">SUM(IF('2014-2017 Projects'!$C$6:$C$252="4.1 - Office of The Director of Finance",'2014-2017 Projects'!$AP$6:$AP$252,0))</f>
        <v>19074.32</v>
      </c>
      <c r="L33" s="143">
        <f t="array" ref="L33">SUM(IF('2014-2017 Projects'!$C$6:$C$252="4.1 - Office of The Director of Finance",'2014-2017 Projects'!$AQ$6:$AQ$252,0))</f>
        <v>0</v>
      </c>
      <c r="M33" s="143">
        <f t="array" ref="M33">SUM(IF('2014-2017 Projects'!$C$6:$C$252="4.1 - Office of The Director of Finance",'2014-2017 Projects'!$AS$6:$AS$252,0))</f>
        <v>0</v>
      </c>
      <c r="N33" s="143">
        <f t="array" ref="N33">SUM(IF('2014-2017 Projects'!$C$6:$C$252="4.1 - Office of The Director of Finance",'2014-2017 Projects'!$AT$6:$AT$252,0))</f>
        <v>0</v>
      </c>
      <c r="O33" s="143">
        <f t="array" ref="O33">SUM(IF('2014-2017 Projects'!$C$6:$C$252="4.1 - Office of The Director of Finance",'2014-2017 Projects'!$AV$6:$AV$252,0))</f>
        <v>0</v>
      </c>
      <c r="P33" s="143">
        <f t="array" ref="P33">SUM(IF('2014-2017 Projects'!$C$6:$C$252="4.1 - Office of The Director of Finance",'2014-2017 Projects'!$AW$6:$AW$252,0))</f>
        <v>0</v>
      </c>
      <c r="Q33" s="143">
        <f t="array" ref="Q33">SUM(IF('2014-2017 Projects'!$C$6:$C$252="4.1 - Office of The Director of Finance",'2014-2017 Projects'!$AY$6:$AY$252,0))</f>
        <v>0</v>
      </c>
      <c r="R33" s="143"/>
      <c r="S33" s="143"/>
      <c r="T33" s="143"/>
      <c r="U33" s="143"/>
      <c r="V33" s="143"/>
      <c r="W33" s="143"/>
      <c r="X33" s="143"/>
      <c r="Y33" s="143"/>
      <c r="Z33" s="143"/>
      <c r="AA33" s="143"/>
      <c r="AB33" s="143"/>
      <c r="AC33" s="143"/>
      <c r="AD33" s="143"/>
      <c r="AE33" s="143"/>
      <c r="AF33" s="143"/>
      <c r="AG33" s="143"/>
      <c r="AH33" s="143">
        <f t="array" ref="AH33">SUM(IF('2014-2017 Projects'!$C$6:$C$252="4.1 - Office of The Director of Finance",'2014-2017 Projects'!$BY$6:$BY$252,0))</f>
        <v>19074.32</v>
      </c>
      <c r="AI33" s="143">
        <f t="array" ref="AI33">SUM(IF('2014-2017 Projects'!$C$6:$C$252="4.1 - Office of The Director of Finance",'2014-2017 Projects'!$BZ$6:$BZ$252,0))</f>
        <v>19074.32</v>
      </c>
      <c r="AJ33" s="143">
        <f t="array" ref="AJ33">SUM(IF('2014-2017 Projects'!$C$6:$C$252="4.1 - Office of The Director of Finance",'2014-2017 Projects'!$BX$6:$BX$252,0))</f>
        <v>0</v>
      </c>
      <c r="AK33" s="143">
        <f t="shared" si="10"/>
        <v>912827.68</v>
      </c>
      <c r="AL33" s="143">
        <f t="shared" si="11"/>
        <v>912827.68</v>
      </c>
      <c r="AM33" s="390">
        <f t="shared" ref="AM33" si="16">AH33/H33</f>
        <v>3.8148639999999998E-2</v>
      </c>
      <c r="AN33" s="390">
        <f t="shared" ref="AN33" si="17">AI33/H33</f>
        <v>3.8148639999999998E-2</v>
      </c>
      <c r="AO33" s="156"/>
      <c r="AP33" s="156"/>
      <c r="AQ33" s="156"/>
      <c r="AR33" s="156"/>
      <c r="AS33" s="156"/>
      <c r="AT33" s="307"/>
      <c r="AU33" s="323"/>
      <c r="AV33" s="323"/>
      <c r="AW33" s="323"/>
      <c r="AX33" s="154"/>
    </row>
    <row r="34" spans="1:50" s="132" customFormat="1" x14ac:dyDescent="0.2">
      <c r="A34" s="169" t="s">
        <v>626</v>
      </c>
      <c r="B34" s="143">
        <f t="array" ref="B34">SUM(IF('2014-2017 Projects'!$A$6:$A$277="Corporate Services",'2014-2017 Projects'!$AG$6:$AG$277,0))</f>
        <v>6600000</v>
      </c>
      <c r="C34" s="143">
        <f t="array" ref="C34">SUM(IF('2014-2017 Projects'!$A$6:$A$277="Corporate Services",'2014-2017 Projects'!$AG$6:$AG$277,0))</f>
        <v>6600000</v>
      </c>
      <c r="D34" s="143">
        <f t="array" ref="D34">SUM(IF('2014-2017 Projects'!$A$6:$A$277="Corporate Services",'2014-2017 Projects'!$AG$6:$AG$277,0))</f>
        <v>6600000</v>
      </c>
      <c r="E34" s="143">
        <f t="array" ref="E34">SUM(IF('2014-2017 Projects'!$A$6:$A$277="Corporate Services",'2014-2017 Projects'!$AH$6:$AH$277,0))</f>
        <v>0</v>
      </c>
      <c r="F34" s="143">
        <f t="array" ref="F34">SUM(IF('2014-2017 Projects'!$A$6:$A$277="Corporate Services",'2014-2017 Projects'!$AI$6:$AI$277,0))</f>
        <v>6600000</v>
      </c>
      <c r="G34" s="143"/>
      <c r="H34" s="143">
        <f t="array" ref="H34">SUM(IF('2014-2017 Projects'!$C$6:$C$252="4.4 - Asset Risk &amp; Financial Services ",'2014-2017 Projects'!$AK$6:$AK$252,0))</f>
        <v>10000000</v>
      </c>
      <c r="I34" s="143">
        <f t="array" ref="I34">SUM(IF('2014-2017 Projects'!$C$6:$C$252="4.4 - Asset Risk &amp; Financial Services ",'2014-2017 Projects'!$AM$6:$AM$252,0))</f>
        <v>10000000</v>
      </c>
      <c r="J34" s="143">
        <f t="array" ref="J34">SUM(IF('2014-2017 Projects'!$C$6:$C$252="4.4 - Asset Risk &amp; Financial Services ",'2014-2017 Projects'!$AN$6:$AN$252,0))</f>
        <v>0</v>
      </c>
      <c r="K34" s="143">
        <f t="array" ref="K34">SUM(IF('2014-2017 Projects'!$C$6:$C$252="4.4 - Asset Risk &amp; Financial Services ",'2014-2017 Projects'!$AP$6:$AP$252,0))</f>
        <v>0</v>
      </c>
      <c r="L34" s="143">
        <f t="array" ref="L34">SUM(IF('2014-2017 Projects'!$C$6:$C$252="4.4 - Asset Risk &amp; Financial Services ",'2014-2017 Projects'!$AQ$6:$AQ$252,0))</f>
        <v>0</v>
      </c>
      <c r="M34" s="143">
        <f t="array" ref="M34">SUM(IF('2014-2017 Projects'!$C$6:$C$252="4.4 - Asset Risk &amp; Financial Services ",'2014-2017 Projects'!$AS$6:$AS$252,0))</f>
        <v>0</v>
      </c>
      <c r="N34" s="143">
        <f t="array" ref="N34">SUM(IF('2014-2017 Projects'!$C$6:$C$252="4.4 - Asset Risk &amp; Financial Services ",'2014-2017 Projects'!$AT$6:$AT$252,0))</f>
        <v>13675.44</v>
      </c>
      <c r="O34" s="143">
        <f t="array" ref="O34">SUM(IF('2014-2017 Projects'!$C$6:$C$252="4.4 - Asset Risk &amp; Financial Services ",'2014-2017 Projects'!$AV$6:$AV$252,0))</f>
        <v>13675.44</v>
      </c>
      <c r="P34" s="143">
        <f t="array" ref="P34">SUM(IF('2014-2017 Projects'!$C$6:$C$252="4.4 - Asset Risk &amp; Financial Services ",'2014-2017 Projects'!$AW$6:$AW$252,0))</f>
        <v>17870</v>
      </c>
      <c r="Q34" s="143">
        <f t="array" ref="Q34">SUM(IF('2014-2017 Projects'!$C$6:$C$252="4.4 - Asset Risk &amp; Financial Services ",'2014-2017 Projects'!$AY$6:$AY$252,0))</f>
        <v>17870</v>
      </c>
      <c r="R34" s="143"/>
      <c r="S34" s="143"/>
      <c r="T34" s="143"/>
      <c r="U34" s="143"/>
      <c r="V34" s="143"/>
      <c r="W34" s="143"/>
      <c r="X34" s="143"/>
      <c r="Y34" s="143"/>
      <c r="Z34" s="143"/>
      <c r="AA34" s="143"/>
      <c r="AB34" s="143"/>
      <c r="AC34" s="143"/>
      <c r="AD34" s="143"/>
      <c r="AE34" s="143"/>
      <c r="AF34" s="143"/>
      <c r="AG34" s="143"/>
      <c r="AH34" s="143">
        <f t="array" ref="AH34">SUM(IF('2014-2017 Projects'!$C$6:$C$252="4.4 - Asset Risk &amp; Financial Services ",'2014-2017 Projects'!$BY$6:$BY$252,0))</f>
        <v>31545.440000000002</v>
      </c>
      <c r="AI34" s="143">
        <f t="array" ref="AI34">SUM(IF('2014-2017 Projects'!$C$6:$C$252="4.4 - Asset Risk &amp; Financial Services ",'2014-2017 Projects'!$BZ$6:$BZ$252,0))</f>
        <v>31545.440000000002</v>
      </c>
      <c r="AJ34" s="143">
        <f t="array" ref="AJ34">SUM(IF('2014-2017 Projects'!$C$6:$C$252="4.4 - Asset Risk &amp; Financial Services ",'2014-2017 Projects'!$BX$6:$BX$252,0))</f>
        <v>120336.18000000001</v>
      </c>
      <c r="AK34" s="143">
        <f t="shared" si="10"/>
        <v>9968454.5600000005</v>
      </c>
      <c r="AL34" s="143">
        <f t="shared" si="11"/>
        <v>9968454.5600000005</v>
      </c>
      <c r="AM34" s="390">
        <f t="shared" si="12"/>
        <v>3.1545440000000004E-3</v>
      </c>
      <c r="AN34" s="390">
        <f t="shared" si="13"/>
        <v>3.1545440000000004E-3</v>
      </c>
      <c r="AO34" s="156"/>
      <c r="AP34" s="156"/>
      <c r="AQ34" s="156"/>
      <c r="AR34" s="156"/>
      <c r="AS34" s="156"/>
      <c r="AT34" s="307"/>
      <c r="AU34" s="323"/>
      <c r="AV34" s="323"/>
      <c r="AW34" s="323"/>
      <c r="AX34" s="154"/>
    </row>
    <row r="35" spans="1:50" s="132" customFormat="1" x14ac:dyDescent="0.2">
      <c r="A35" s="169" t="s">
        <v>628</v>
      </c>
      <c r="B35" s="143">
        <f t="array" ref="B35">SUM(IF('2014-2017 Projects'!$A$6:$A$277="Chief Operations Officer",'2014-2017 Projects'!$AG$6:$AG$277,0))</f>
        <v>0</v>
      </c>
      <c r="C35" s="143">
        <f t="array" ref="C35">SUM(IF('2014-2017 Projects'!$A$6:$A$277="Chief Operations Officer",'2014-2017 Projects'!$AG$6:$AG$277,0))</f>
        <v>0</v>
      </c>
      <c r="D35" s="143">
        <f t="array" ref="D35">SUM(IF('2014-2017 Projects'!$A$6:$A$277="Chief Operations Officer",'2014-2017 Projects'!$AG$6:$AG$277,0))</f>
        <v>0</v>
      </c>
      <c r="E35" s="143">
        <f t="array" ref="E35">SUM(IF('2014-2017 Projects'!$A$6:$A$277="Chief Operations Officer",'2014-2017 Projects'!$AH$6:$AH$277,0))</f>
        <v>0</v>
      </c>
      <c r="F35" s="143">
        <f t="array" ref="F35">SUM(IF('2014-2017 Projects'!$A$6:$A$277="Chief Operations Officer",'2014-2017 Projects'!$AI$6:$AI$277,0))</f>
        <v>0</v>
      </c>
      <c r="G35" s="143">
        <f t="array" ref="G35">SUM(IF('2014-2017 Projects'!$A$6:$A$277="Chief Operations Officer",'2014-2017 Projects'!$AG$6:$AG$277,0))</f>
        <v>0</v>
      </c>
      <c r="H35" s="143">
        <f t="array" ref="H35">SUM(IF('2014-2017 Projects'!$C$6:$C$252="4.3 - Budget Office",'2014-2017 Projects'!$AK$6:$AK$252,0))</f>
        <v>0</v>
      </c>
      <c r="I35" s="143">
        <f t="array" ref="I35">SUM(IF('2014-2017 Projects'!$C$6:$C$252="4.3 - Budget Office",'2014-2017 Projects'!$AM$6:$AM$252,0))</f>
        <v>0</v>
      </c>
      <c r="J35" s="143">
        <f t="array" ref="J35">SUM(IF('2014-2017 Projects'!$C$6:$C$252="4.3 - Budget Office",'2014-2017 Projects'!$AN$6:$AN$252,0))</f>
        <v>0</v>
      </c>
      <c r="K35" s="143">
        <f t="array" ref="K35">SUM(IF('2014-2017 Projects'!$C$6:$C$252="4.3 - Budget Office",'2014-2017 Projects'!$AP$6:$AP$252,0))</f>
        <v>0</v>
      </c>
      <c r="L35" s="143">
        <f t="array" ref="L35">SUM(IF('2014-2017 Projects'!$C$6:$C$252="4.3 - Budget Office",'2014-2017 Projects'!$AQ$6:$AQ$252,0))</f>
        <v>0</v>
      </c>
      <c r="M35" s="143">
        <f t="array" ref="M35">SUM(IF('2014-2017 Projects'!$C$6:$C$252="4.3 - Budget Office",'2014-2017 Projects'!$AS$6:$AS$252,0))</f>
        <v>0</v>
      </c>
      <c r="N35" s="143">
        <f t="array" ref="N35">SUM(IF('2014-2017 Projects'!$C$6:$C$252="4.3 - Budget Office",'2014-2017 Projects'!$AT$6:$AT$252,0))</f>
        <v>0</v>
      </c>
      <c r="O35" s="143">
        <f t="array" ref="O35">SUM(IF('2014-2017 Projects'!$C$6:$C$252="4.3 - Budget Office",'2014-2017 Projects'!$AV$6:$AV$252,0))</f>
        <v>0</v>
      </c>
      <c r="P35" s="143">
        <f t="array" ref="P35">SUM(IF('2014-2017 Projects'!$C$6:$C$252="4.3 - Budget Office",'2014-2017 Projects'!$AW$6:$AW$252,0))</f>
        <v>0</v>
      </c>
      <c r="Q35" s="143">
        <f t="array" ref="Q35">SUM(IF('2014-2017 Projects'!$C$6:$C$252="4.3 - Budget Office",'2014-2017 Projects'!$AY$6:$AY$252,0))</f>
        <v>0</v>
      </c>
      <c r="R35" s="143"/>
      <c r="S35" s="143"/>
      <c r="T35" s="143"/>
      <c r="U35" s="143"/>
      <c r="V35" s="143"/>
      <c r="W35" s="143"/>
      <c r="X35" s="143"/>
      <c r="Y35" s="143"/>
      <c r="Z35" s="143"/>
      <c r="AA35" s="143"/>
      <c r="AB35" s="143"/>
      <c r="AC35" s="143"/>
      <c r="AD35" s="143"/>
      <c r="AE35" s="143"/>
      <c r="AF35" s="143"/>
      <c r="AG35" s="143"/>
      <c r="AH35" s="143">
        <f t="array" ref="AH35">SUM(IF('2014-2017 Projects'!$C$6:$C$252="4.3 - Budget Office",'2014-2017 Projects'!$BY$6:$BY$252,0))</f>
        <v>0</v>
      </c>
      <c r="AI35" s="143">
        <f t="array" ref="AI35">SUM(IF('2014-2017 Projects'!$C$6:$C$252="4.3 - Budget Office",'2014-2017 Projects'!$BZ$6:$BZ$252,0))</f>
        <v>0</v>
      </c>
      <c r="AJ35" s="143">
        <f t="array" ref="AJ35">SUM(IF('2014-2017 Projects'!$C$6:$C$252="4.3 - Budget Office",'2014-2017 Projects'!$BX$6:$BX$252,0))</f>
        <v>0</v>
      </c>
      <c r="AK35" s="143">
        <f t="shared" si="10"/>
        <v>0</v>
      </c>
      <c r="AL35" s="143">
        <f t="shared" si="11"/>
        <v>0</v>
      </c>
      <c r="AM35" s="390" t="e">
        <f t="shared" si="12"/>
        <v>#DIV/0!</v>
      </c>
      <c r="AN35" s="390" t="e">
        <f t="shared" si="13"/>
        <v>#DIV/0!</v>
      </c>
      <c r="AO35" s="156"/>
      <c r="AP35" s="156"/>
      <c r="AQ35" s="156"/>
      <c r="AR35" s="156"/>
      <c r="AS35" s="156"/>
      <c r="AT35" s="307"/>
      <c r="AU35" s="323"/>
      <c r="AV35" s="323"/>
      <c r="AW35" s="323"/>
      <c r="AX35" s="154"/>
    </row>
    <row r="36" spans="1:50" s="132" customFormat="1" x14ac:dyDescent="0.2">
      <c r="A36" s="400" t="s">
        <v>629</v>
      </c>
      <c r="B36" s="143">
        <f t="array" ref="B36">SUM(IF('2014-2017 Projects'!$A$6:$A$277="Financial Services",'2014-2017 Projects'!$AG$6:$AG$277,0))</f>
        <v>0</v>
      </c>
      <c r="C36" s="143">
        <f t="array" ref="C36">SUM(IF('2014-2017 Projects'!$A$6:$A$277="Financial Services",'2014-2017 Projects'!$AG$6:$AG$277,0))</f>
        <v>0</v>
      </c>
      <c r="D36" s="143">
        <f t="array" ref="D36">SUM(IF('2014-2017 Projects'!$A$6:$A$277="Financial Services",'2014-2017 Projects'!$AG$6:$AG$277,0))</f>
        <v>0</v>
      </c>
      <c r="E36" s="143">
        <f t="array" ref="E36">SUM(IF('2014-2017 Projects'!$A$6:$A$277="Financial Services",'2014-2017 Projects'!$AH$6:$AH$277,0))</f>
        <v>0</v>
      </c>
      <c r="F36" s="143">
        <f t="array" ref="F36">SUM(IF('2014-2017 Projects'!$A$6:$A$277="Financial Services",'2014-2017 Projects'!$AI$6:$AI$277,0))</f>
        <v>0</v>
      </c>
      <c r="G36" s="143"/>
      <c r="H36" s="143">
        <f t="array" ref="H36">SUM(IF('2014-2017 Projects'!$C$6:$C$252="4.7 - Salary Office",'2014-2017 Projects'!$AK$6:$AK$252,0))</f>
        <v>0</v>
      </c>
      <c r="I36" s="143">
        <f t="array" ref="I36">SUM(IF('2014-2017 Projects'!$C$6:$C$252="4.7 - Salary Office",'2014-2017 Projects'!$AM$6:$AM$252,0))</f>
        <v>0</v>
      </c>
      <c r="J36" s="143">
        <f t="array" ref="J36">SUM(IF('2014-2017 Projects'!$C$6:$C$252="4.7 - Salary Office",'2014-2017 Projects'!$AN$6:$AN$252,0))</f>
        <v>0</v>
      </c>
      <c r="K36" s="143">
        <f t="array" ref="K36">SUM(IF('2014-2017 Projects'!$C$6:$C$252="4.7 - Salary Office",'2014-2017 Projects'!$AP$6:$AP$252,0))</f>
        <v>0</v>
      </c>
      <c r="L36" s="143">
        <f t="array" ref="L36">SUM(IF('2014-2017 Projects'!$C$6:$C$252="4.7 - Salary Office",'2014-2017 Projects'!$AQ$6:$AQ$252,0))</f>
        <v>0</v>
      </c>
      <c r="M36" s="143">
        <f t="array" ref="M36">SUM(IF('2014-2017 Projects'!$C$6:$C$252="4.7 - Salary Office",'2014-2017 Projects'!$AS$6:$AS$252,0))</f>
        <v>0</v>
      </c>
      <c r="N36" s="143">
        <f t="array" ref="N36">SUM(IF('2014-2017 Projects'!$C$6:$C$252="4.7 - Salary Office",'2014-2017 Projects'!$AT$6:$AT$252,0))</f>
        <v>0</v>
      </c>
      <c r="O36" s="143">
        <f t="array" ref="O36">SUM(IF('2014-2017 Projects'!$C$6:$C$252="4.7 - Salary Office",'2014-2017 Projects'!$AV$6:$AV$252,0))</f>
        <v>0</v>
      </c>
      <c r="P36" s="143">
        <f t="array" ref="P36">SUM(IF('2014-2017 Projects'!$C$6:$C$252="4.7 - Salary Office",'2014-2017 Projects'!$AW$6:$AW$252,0))</f>
        <v>0</v>
      </c>
      <c r="Q36" s="143">
        <f t="array" ref="Q36">SUM(IF('2014-2017 Projects'!$C$6:$C$252="4.7 - Salary Office",'2014-2017 Projects'!$AY$6:$AY$252,0))</f>
        <v>0</v>
      </c>
      <c r="R36" s="143"/>
      <c r="S36" s="143"/>
      <c r="T36" s="143"/>
      <c r="U36" s="143"/>
      <c r="V36" s="143"/>
      <c r="W36" s="143"/>
      <c r="X36" s="143"/>
      <c r="Y36" s="143"/>
      <c r="Z36" s="143"/>
      <c r="AA36" s="143"/>
      <c r="AB36" s="143"/>
      <c r="AC36" s="143"/>
      <c r="AD36" s="143"/>
      <c r="AE36" s="143"/>
      <c r="AF36" s="143"/>
      <c r="AG36" s="143"/>
      <c r="AH36" s="143">
        <f t="array" ref="AH36">SUM(IF('2014-2017 Projects'!$C$6:$C$252="4.7 - Salary Office",'2014-2017 Projects'!$BY$6:$BY$252,0))</f>
        <v>0</v>
      </c>
      <c r="AI36" s="143">
        <f t="array" ref="AI36">SUM(IF('2014-2017 Projects'!$C$6:$C$252="4.7 - Salary Office",'2014-2017 Projects'!$BZ$6:$BZ$252,0))</f>
        <v>0</v>
      </c>
      <c r="AJ36" s="143">
        <f t="array" ref="AJ36">SUM(IF('2014-2017 Projects'!$C$6:$C$252="4.7 - Salary Office",'2014-2017 Projects'!$BX$6:$BX$252,0))</f>
        <v>0</v>
      </c>
      <c r="AK36" s="143">
        <f t="shared" si="10"/>
        <v>0</v>
      </c>
      <c r="AL36" s="143">
        <f t="shared" si="11"/>
        <v>0</v>
      </c>
      <c r="AM36" s="390" t="e">
        <f t="shared" si="12"/>
        <v>#DIV/0!</v>
      </c>
      <c r="AN36" s="390" t="e">
        <f t="shared" si="13"/>
        <v>#DIV/0!</v>
      </c>
      <c r="AO36" s="156"/>
      <c r="AP36" s="156"/>
      <c r="AQ36" s="156"/>
      <c r="AR36" s="156"/>
      <c r="AS36" s="156"/>
      <c r="AT36" s="307"/>
      <c r="AU36" s="323"/>
      <c r="AV36" s="323"/>
      <c r="AW36" s="323"/>
      <c r="AX36" s="154"/>
    </row>
    <row r="37" spans="1:50" s="132" customFormat="1" ht="25.5" x14ac:dyDescent="0.2">
      <c r="A37" s="400" t="s">
        <v>645</v>
      </c>
      <c r="B37" s="143"/>
      <c r="C37" s="143"/>
      <c r="D37" s="143"/>
      <c r="E37" s="143"/>
      <c r="F37" s="143"/>
      <c r="G37" s="143"/>
      <c r="H37" s="143">
        <f t="array" ref="H37">SUM(IF('2014-2017 Projects'!$C$6:$C$252="4.9 - Consolidated Billing &amp; Miscellaneous Revenue Office",'2014-2017 Projects'!$AK$6:$AK$252,0))</f>
        <v>350000</v>
      </c>
      <c r="I37" s="143">
        <f t="array" ref="I37">SUM(IF('2014-2017 Projects'!$C$6:$C$252="4.9 - Consolidated Billing &amp; Miscellaneous Revenue Office",'2014-2017 Projects'!$AM$6:$AM$252,0))</f>
        <v>350000</v>
      </c>
      <c r="J37" s="143">
        <f t="array" ref="J37">SUM(IF('2014-2017 Projects'!$C$6:$C$252="4.9 - Consolidated Billing &amp; Miscellaneous Revenue Office",'2014-2017 Projects'!$AN$6:$AN$252,0))</f>
        <v>0</v>
      </c>
      <c r="K37" s="143">
        <f t="array" ref="K37">SUM(IF('2014-2017 Projects'!$C$6:$C$252="4.9 - Consolidated Billing &amp; Miscellaneous Revenue Office",'2014-2017 Projects'!$AP$6:$AP$252,0))</f>
        <v>0</v>
      </c>
      <c r="L37" s="143">
        <f t="array" ref="L37">SUM(IF('2014-2017 Projects'!$C$6:$C$252="4.9 - Consolidated Billing &amp; Miscellaneous Revenue Office",'2014-2017 Projects'!$AQ$6:$AQ$252,0))</f>
        <v>0</v>
      </c>
      <c r="M37" s="143">
        <f t="array" ref="M37">SUM(IF('2014-2017 Projects'!$C$6:$C$252="4.9 - Consolidated Billing &amp; Miscellaneous Revenue Office",'2014-2017 Projects'!$AS$6:$AS$252,0))</f>
        <v>0</v>
      </c>
      <c r="N37" s="143">
        <f t="array" ref="N37">SUM(IF('2014-2017 Projects'!$C$6:$C$252="4.9 - Consolidated Billing &amp; Miscellaneous Revenue Office",'2014-2017 Projects'!$AT$6:$AT$252,0))</f>
        <v>0</v>
      </c>
      <c r="O37" s="143">
        <f t="array" ref="O37">SUM(IF('2014-2017 Projects'!$C$6:$C$252="4.9 - Consolidated Billing &amp; Miscellaneous Revenue Office",'2014-2017 Projects'!$AV$6:$AV$252,0))</f>
        <v>0</v>
      </c>
      <c r="P37" s="143">
        <f t="array" ref="P37">SUM(IF('2014-2017 Projects'!$C$6:$C$252="4.9 - Consolidated Billing &amp; Miscellaneous Revenue Office",'2014-2017 Projects'!$AW$6:$AW$252,0))</f>
        <v>0</v>
      </c>
      <c r="Q37" s="143">
        <f t="array" ref="Q37">SUM(IF('2014-2017 Projects'!$C$6:$C$252="4.9 - Consolidated Billing &amp; Miscellaneous Revenue Office",'2014-2017 Projects'!$AY$6:$AY$252,0))</f>
        <v>0</v>
      </c>
      <c r="R37" s="143"/>
      <c r="S37" s="143"/>
      <c r="T37" s="143"/>
      <c r="U37" s="143"/>
      <c r="V37" s="143"/>
      <c r="W37" s="143"/>
      <c r="X37" s="143"/>
      <c r="Y37" s="143"/>
      <c r="Z37" s="143"/>
      <c r="AA37" s="143"/>
      <c r="AB37" s="143"/>
      <c r="AC37" s="143"/>
      <c r="AD37" s="143"/>
      <c r="AE37" s="143"/>
      <c r="AF37" s="143"/>
      <c r="AG37" s="143"/>
      <c r="AH37" s="143">
        <f t="array" ref="AH37">SUM(IF('2014-2017 Projects'!$C$6:$C$252="4.9 - Consolidated Billing &amp; Miscellaneous Revenue Office",'2014-2017 Projects'!$BY$6:$BY$252,0))</f>
        <v>0</v>
      </c>
      <c r="AI37" s="143">
        <f t="array" ref="AI37">SUM(IF('2014-2017 Projects'!$C$6:$C$252="4.9 - Consolidated Billing &amp; Miscellaneous Revenue Office",'2014-2017 Projects'!$BZ$6:$BZ$252,0))</f>
        <v>0</v>
      </c>
      <c r="AJ37" s="143">
        <f t="array" ref="AJ37">SUM(IF('2014-2017 Projects'!$C$6:$C$252="4.9 - Consolidated Billing &amp; Miscellaneous Revenue Office",'2014-2017 Projects'!$BX$6:$BX$252,0))</f>
        <v>0</v>
      </c>
      <c r="AK37" s="143">
        <f t="shared" si="10"/>
        <v>350000</v>
      </c>
      <c r="AL37" s="143">
        <f t="shared" si="11"/>
        <v>350000</v>
      </c>
      <c r="AM37" s="390">
        <f t="shared" ref="AM37" si="18">AH37/H37</f>
        <v>0</v>
      </c>
      <c r="AN37" s="390">
        <f t="shared" ref="AN37" si="19">AI37/H37</f>
        <v>0</v>
      </c>
      <c r="AO37" s="156"/>
      <c r="AP37" s="156"/>
      <c r="AQ37" s="156"/>
      <c r="AR37" s="156"/>
      <c r="AS37" s="156"/>
      <c r="AT37" s="307"/>
      <c r="AU37" s="323"/>
      <c r="AV37" s="323"/>
      <c r="AW37" s="323"/>
      <c r="AX37" s="154"/>
    </row>
    <row r="38" spans="1:50" s="132" customFormat="1" x14ac:dyDescent="0.2">
      <c r="A38" s="169" t="s">
        <v>627</v>
      </c>
      <c r="B38" s="143">
        <f t="array" ref="B38">SUM(IF('2014-2017 Projects'!$A$6:$A$298="Municipal Manager's Office",'2014-2017 Projects'!$AG$6:$AG$298,0))</f>
        <v>12750000</v>
      </c>
      <c r="C38" s="143">
        <f t="array" ref="C38">SUM(IF('2014-2017 Projects'!$A$6:$A$298="Municipal Manager's Office",'2014-2017 Projects'!$AG$6:$AG$298,0))</f>
        <v>12750000</v>
      </c>
      <c r="D38" s="143">
        <f t="array" ref="D38">SUM(IF('2014-2017 Projects'!$A$6:$A$298="Municipal Manager's Office",'2014-2017 Projects'!$AG$6:$AG$298,0))</f>
        <v>12750000</v>
      </c>
      <c r="E38" s="143">
        <f t="array" ref="E38">SUM(IF('2014-2017 Projects'!$A$6:$A$298="Municipal Manager's Office",'2014-2017 Projects'!$AH$6:$AH$298,0))</f>
        <v>-10000000</v>
      </c>
      <c r="F38" s="143">
        <f t="array" ref="F38">SUM(IF('2014-2017 Projects'!$A$6:$A$298="Municipal Manager's Office",'2014-2017 Projects'!$AI$6:$AI$298,0))</f>
        <v>2750000</v>
      </c>
      <c r="G38" s="143"/>
      <c r="H38" s="143">
        <f t="array" ref="H38">SUM(IF('2014-2017 Projects'!$C$6:$C$252="4.10 - Debtors Management Office",'2014-2017 Projects'!$AK$6:$AK$252,0))</f>
        <v>0</v>
      </c>
      <c r="I38" s="143">
        <f t="array" ref="I38">SUM(IF('2014-2017 Projects'!$C$6:$C$252="4.10 - Debtors Management Office",'2014-2017 Projects'!$AM$6:$AM$252,0))</f>
        <v>0</v>
      </c>
      <c r="J38" s="143">
        <f t="array" ref="J38">SUM(IF('2014-2017 Projects'!$C$6:$C$252="4.10 - Debtors Management Office",'2014-2017 Projects'!$AN$6:$AN$252,0))</f>
        <v>0</v>
      </c>
      <c r="K38" s="143">
        <f t="array" ref="K38">SUM(IF('2014-2017 Projects'!$C$6:$C$252="4.10 - Debtors Management Office",'2014-2017 Projects'!$AP$6:$AP$252,0))</f>
        <v>0</v>
      </c>
      <c r="L38" s="143">
        <f t="array" ref="L38">SUM(IF('2014-2017 Projects'!$C$6:$C$252="4.10 - Debtors Management Office",'2014-2017 Projects'!$AQ$6:$AQ$252,0))</f>
        <v>0</v>
      </c>
      <c r="M38" s="143">
        <f t="array" ref="M38">SUM(IF('2014-2017 Projects'!$C$6:$C$252="4.10 - Debtors Management Office",'2014-2017 Projects'!$AS$6:$AS$252,0))</f>
        <v>0</v>
      </c>
      <c r="N38" s="143">
        <f t="array" ref="N38">SUM(IF('2014-2017 Projects'!$C$6:$C$252="4.10 - Debtors Management Office",'2014-2017 Projects'!$AT$6:$AT$252,0))</f>
        <v>0</v>
      </c>
      <c r="O38" s="143">
        <f t="array" ref="O38">SUM(IF('2014-2017 Projects'!$C$6:$C$252="4.10 - Debtors Management Office",'2014-2017 Projects'!$AV$6:$AV$252,0))</f>
        <v>0</v>
      </c>
      <c r="P38" s="143">
        <f t="array" ref="P38">SUM(IF('2014-2017 Projects'!$C$6:$C$252="4.10 - Debtors Management Office",'2014-2017 Projects'!$AW$6:$AW$252,0))</f>
        <v>0</v>
      </c>
      <c r="Q38" s="143">
        <f t="array" ref="Q38">SUM(IF('2014-2017 Projects'!$C$6:$C$252="4.10 - Debtors Management Office",'2014-2017 Projects'!$AY$6:$AY$252,0))</f>
        <v>0</v>
      </c>
      <c r="R38" s="143"/>
      <c r="S38" s="143"/>
      <c r="T38" s="143"/>
      <c r="U38" s="143"/>
      <c r="V38" s="143"/>
      <c r="W38" s="143"/>
      <c r="X38" s="143"/>
      <c r="Y38" s="143"/>
      <c r="Z38" s="143"/>
      <c r="AA38" s="143"/>
      <c r="AB38" s="143"/>
      <c r="AC38" s="143"/>
      <c r="AD38" s="143"/>
      <c r="AE38" s="143"/>
      <c r="AF38" s="143"/>
      <c r="AG38" s="143"/>
      <c r="AH38" s="143">
        <f t="array" ref="AH38">SUM(IF('2014-2017 Projects'!$C$6:$C$252="4.10 - Debtors Management Office",'2014-2017 Projects'!$BY$6:$BY$252,0))</f>
        <v>0</v>
      </c>
      <c r="AI38" s="143">
        <f t="array" ref="AI38">SUM(IF('2014-2017 Projects'!$C$6:$C$252="4.10 - Debtors Management Office",'2014-2017 Projects'!$BZ$6:$BZ$252,0))</f>
        <v>0</v>
      </c>
      <c r="AJ38" s="143">
        <f t="array" ref="AJ38">SUM(IF('2014-2017 Projects'!$C$6:$C$252="4.10 - Debtors Management Office",'2014-2017 Projects'!$BX$6:$BX$252,0))</f>
        <v>0</v>
      </c>
      <c r="AK38" s="143">
        <f t="shared" si="10"/>
        <v>0</v>
      </c>
      <c r="AL38" s="143">
        <f t="shared" si="11"/>
        <v>0</v>
      </c>
      <c r="AM38" s="390" t="e">
        <f>AH38/H38</f>
        <v>#DIV/0!</v>
      </c>
      <c r="AN38" s="390" t="e">
        <f>AI38/H38</f>
        <v>#DIV/0!</v>
      </c>
      <c r="AO38" s="156"/>
      <c r="AP38" s="156"/>
      <c r="AQ38" s="156"/>
      <c r="AR38" s="156"/>
      <c r="AS38" s="156"/>
      <c r="AT38" s="307"/>
      <c r="AU38" s="323"/>
      <c r="AV38" s="323"/>
      <c r="AW38" s="323"/>
      <c r="AX38" s="154"/>
    </row>
    <row r="39" spans="1:50" s="132" customFormat="1" x14ac:dyDescent="0.2">
      <c r="A39" s="169" t="s">
        <v>646</v>
      </c>
      <c r="B39" s="143"/>
      <c r="C39" s="143"/>
      <c r="D39" s="143"/>
      <c r="E39" s="143"/>
      <c r="F39" s="143"/>
      <c r="G39" s="143"/>
      <c r="H39" s="143">
        <f t="array" ref="H39">SUM(IF('2014-2017 Projects'!$C$6:$C$252="4.11 - Customer Care Office",'2014-2017 Projects'!$AK$6:$AK$252,0))</f>
        <v>1500000</v>
      </c>
      <c r="I39" s="143">
        <f t="array" ref="I39">SUM(IF('2014-2017 Projects'!$C$6:$C$252="4.11 - Customer Care Office",'2014-2017 Projects'!$AM$6:$AM$252,0))</f>
        <v>1500000</v>
      </c>
      <c r="J39" s="143">
        <f t="array" ref="J39">SUM(IF('2014-2017 Projects'!$C$6:$C$252="4.11 - Customer Care Office",'2014-2017 Projects'!$AN$6:$AN$252,0))</f>
        <v>0</v>
      </c>
      <c r="K39" s="143">
        <f t="array" ref="K39">SUM(IF('2014-2017 Projects'!$C$6:$C$252="4.11 - Customer Care Office",'2014-2017 Projects'!$AP$6:$AP$252,0))</f>
        <v>0</v>
      </c>
      <c r="L39" s="143">
        <f t="array" ref="L39">SUM(IF('2014-2017 Projects'!$C$6:$C$252="4.11 - Customer Care Office",'2014-2017 Projects'!$AQ$6:$AQ$252,0))</f>
        <v>0</v>
      </c>
      <c r="M39" s="143">
        <f t="array" ref="M39">SUM(IF('2014-2017 Projects'!$C$6:$C$252="4.11 - Customer Care Office",'2014-2017 Projects'!$AS$6:$AS$252,0))</f>
        <v>0</v>
      </c>
      <c r="N39" s="143">
        <f t="array" ref="N39">SUM(IF('2014-2017 Projects'!$C$6:$C$252="4.11 - Customer Care Office",'2014-2017 Projects'!$AT$6:$AT$252,0))</f>
        <v>0</v>
      </c>
      <c r="O39" s="143">
        <f t="array" ref="O39">SUM(IF('2014-2017 Projects'!$C$6:$C$252="4.11 - Customer Care Office",'2014-2017 Projects'!$AV$6:$AV$252,0))</f>
        <v>0</v>
      </c>
      <c r="P39" s="143">
        <f t="array" ref="P39">SUM(IF('2014-2017 Projects'!$C$6:$C$252="4.11 - Customer Care Office",'2014-2017 Projects'!$AW$6:$AW$252,0))</f>
        <v>0</v>
      </c>
      <c r="Q39" s="143">
        <f t="array" ref="Q39">SUM(IF('2014-2017 Projects'!$C$6:$C$252="4.11 - Customer Care Office",'2014-2017 Projects'!$AY$6:$AY$252,0))</f>
        <v>0</v>
      </c>
      <c r="R39" s="143"/>
      <c r="S39" s="143"/>
      <c r="T39" s="143"/>
      <c r="U39" s="143"/>
      <c r="V39" s="143"/>
      <c r="W39" s="143"/>
      <c r="X39" s="143"/>
      <c r="Y39" s="143"/>
      <c r="Z39" s="143"/>
      <c r="AA39" s="143"/>
      <c r="AB39" s="143"/>
      <c r="AC39" s="143"/>
      <c r="AD39" s="143"/>
      <c r="AE39" s="143"/>
      <c r="AF39" s="143"/>
      <c r="AG39" s="143"/>
      <c r="AH39" s="143">
        <f t="array" ref="AH39">SUM(IF('2014-2017 Projects'!$C$6:$C$252="4.11 - Customer Care Office",'2014-2017 Projects'!$BY$6:$BY$252,0))</f>
        <v>0</v>
      </c>
      <c r="AI39" s="143">
        <f t="array" ref="AI39">SUM(IF('2014-2017 Projects'!$C$6:$C$252="4.11 - Customer Care Office",'2014-2017 Projects'!$BZ$6:$BZ$252,0))</f>
        <v>0</v>
      </c>
      <c r="AJ39" s="143">
        <f t="array" ref="AJ39">SUM(IF('2014-2017 Projects'!$C$6:$C$252="4.11 - Customer Care Office",'2014-2017 Projects'!$BX$6:$BX$252,0))</f>
        <v>0</v>
      </c>
      <c r="AK39" s="143">
        <f t="shared" si="10"/>
        <v>1500000</v>
      </c>
      <c r="AL39" s="143">
        <f t="shared" si="11"/>
        <v>1500000</v>
      </c>
      <c r="AM39" s="390">
        <f>AH39/H39</f>
        <v>0</v>
      </c>
      <c r="AN39" s="390">
        <f>AI39/H39</f>
        <v>0</v>
      </c>
      <c r="AO39" s="156"/>
      <c r="AP39" s="156"/>
      <c r="AQ39" s="156"/>
      <c r="AR39" s="156"/>
      <c r="AS39" s="156"/>
      <c r="AT39" s="307"/>
      <c r="AU39" s="323"/>
      <c r="AV39" s="323"/>
      <c r="AW39" s="323"/>
      <c r="AX39" s="154"/>
    </row>
    <row r="40" spans="1:50" s="132" customFormat="1" x14ac:dyDescent="0.2">
      <c r="A40" s="400" t="s">
        <v>630</v>
      </c>
      <c r="B40" s="143">
        <f t="array" ref="B40">SUM(IF('2014-2017 Projects'!$A$6:$A$277="Corporate Services",'2014-2017 Projects'!$AG$6:$AG$277,0))</f>
        <v>6600000</v>
      </c>
      <c r="C40" s="143">
        <f t="array" ref="C40">SUM(IF('2014-2017 Projects'!$A$6:$A$277="Corporate Services",'2014-2017 Projects'!$AG$6:$AG$277,0))</f>
        <v>6600000</v>
      </c>
      <c r="D40" s="143">
        <f t="array" ref="D40">SUM(IF('2014-2017 Projects'!$A$6:$A$277="Corporate Services",'2014-2017 Projects'!$AG$6:$AG$277,0))</f>
        <v>6600000</v>
      </c>
      <c r="E40" s="143">
        <f t="array" ref="E40">SUM(IF('2014-2017 Projects'!$A$6:$A$277="Corporate Services",'2014-2017 Projects'!$AH$6:$AH$277,0))</f>
        <v>0</v>
      </c>
      <c r="F40" s="143">
        <f t="array" ref="F40">SUM(IF('2014-2017 Projects'!$A$6:$A$277="Corporate Services",'2014-2017 Projects'!$AI$6:$AI$277,0))</f>
        <v>6600000</v>
      </c>
      <c r="G40" s="143"/>
      <c r="H40" s="143">
        <f t="array" ref="H40">SUM(IF('2014-2017 Projects'!$C$6:$C$252="5.1 - Office of The Director of Corporate Services",'2014-2017 Projects'!$AK$6:$AK$252,0))</f>
        <v>500000</v>
      </c>
      <c r="I40" s="143">
        <f t="array" ref="I40">SUM(IF('2014-2017 Projects'!$C$6:$C$252="5.1 - Office of The Director of Corporate Services",'2014-2017 Projects'!$AM$6:$AM$252,0))</f>
        <v>500000</v>
      </c>
      <c r="J40" s="143">
        <f t="array" ref="J40">SUM(IF('2014-2017 Projects'!$C$6:$C$252="5.1 - Office of The Director of Corporate Services",'2014-2017 Projects'!$AN$6:$AN$252,0))</f>
        <v>0</v>
      </c>
      <c r="K40" s="143">
        <f t="array" ref="K40">SUM(IF('2014-2017 Projects'!$C$6:$C$252="5.1 - Office of The Director of Corporate Services",'2014-2017 Projects'!$AP$6:$AP$252,0))</f>
        <v>0</v>
      </c>
      <c r="L40" s="143">
        <f t="array" ref="L40">SUM(IF('2014-2017 Projects'!$C$6:$C$252="5.1 - Office of The Director of Corporate Services",'2014-2017 Projects'!$AQ$6:$AQ$252,0))</f>
        <v>0</v>
      </c>
      <c r="M40" s="143">
        <f t="array" ref="M40">SUM(IF('2014-2017 Projects'!$C$6:$C$252="5.1 - Office of The Director of Corporate Services",'2014-2017 Projects'!$AS$6:$AS$252,0))</f>
        <v>0</v>
      </c>
      <c r="N40" s="143">
        <f t="array" ref="N40">SUM(IF('2014-2017 Projects'!$C$6:$C$252="5.1 - Office of The Director of Corporate Services",'2014-2017 Projects'!$AT$6:$AT$252,0))</f>
        <v>0</v>
      </c>
      <c r="O40" s="143">
        <f t="array" ref="O40">SUM(IF('2014-2017 Projects'!$C$6:$C$252="5.1 - Office of The Director of Corporate Services",'2014-2017 Projects'!$AV$6:$AV$252,0))</f>
        <v>0</v>
      </c>
      <c r="P40" s="143">
        <f t="array" ref="P40">SUM(IF('2014-2017 Projects'!$C$6:$C$252="5.1 - Office of The Director of Corporate Services",'2014-2017 Projects'!$AW$6:$AW$252,0))</f>
        <v>0</v>
      </c>
      <c r="Q40" s="143">
        <f t="array" ref="Q40">SUM(IF('2014-2017 Projects'!$C$6:$C$252="5.1 - Office of The Director of Corporate Services",'2014-2017 Projects'!$AY$6:$AY$252,0))</f>
        <v>0</v>
      </c>
      <c r="R40" s="143"/>
      <c r="S40" s="143"/>
      <c r="T40" s="143"/>
      <c r="U40" s="143"/>
      <c r="V40" s="143"/>
      <c r="W40" s="143"/>
      <c r="X40" s="143"/>
      <c r="Y40" s="143"/>
      <c r="Z40" s="143"/>
      <c r="AA40" s="143"/>
      <c r="AB40" s="143"/>
      <c r="AC40" s="143"/>
      <c r="AD40" s="143"/>
      <c r="AE40" s="143"/>
      <c r="AF40" s="143"/>
      <c r="AG40" s="143"/>
      <c r="AH40" s="143">
        <f t="array" ref="AH40">SUM(IF('2014-2017 Projects'!$C$6:$C$252="5.1 - Office of The Director of Corporate Services",'2014-2017 Projects'!$BY$6:$BY$252,0))</f>
        <v>0</v>
      </c>
      <c r="AI40" s="143">
        <f t="array" ref="AI40">SUM(IF('2014-2017 Projects'!$C$6:$C$252="5.1 - Office of The Director of Corporate Services",'2014-2017 Projects'!$BZ$6:$BZ$252,0))</f>
        <v>0</v>
      </c>
      <c r="AJ40" s="143">
        <f t="array" ref="AJ40">SUM(IF('2014-2017 Projects'!$C$6:$C$252="5.1 - Office of The Director of Corporate Services",'2014-2017 Projects'!$BX$6:$BX$252,0))</f>
        <v>0</v>
      </c>
      <c r="AK40" s="143">
        <f t="shared" si="10"/>
        <v>500000</v>
      </c>
      <c r="AL40" s="143">
        <f t="shared" si="11"/>
        <v>500000</v>
      </c>
      <c r="AM40" s="390">
        <f t="shared" si="12"/>
        <v>0</v>
      </c>
      <c r="AN40" s="390">
        <f t="shared" si="13"/>
        <v>0</v>
      </c>
      <c r="AO40" s="156"/>
      <c r="AP40" s="156"/>
      <c r="AQ40" s="156"/>
      <c r="AR40" s="156"/>
      <c r="AS40" s="156"/>
      <c r="AT40" s="307"/>
      <c r="AU40" s="323"/>
      <c r="AV40" s="323"/>
      <c r="AW40" s="323"/>
      <c r="AX40" s="154"/>
    </row>
    <row r="41" spans="1:50" s="132" customFormat="1" x14ac:dyDescent="0.2">
      <c r="A41" s="400" t="s">
        <v>761</v>
      </c>
      <c r="B41" s="143"/>
      <c r="C41" s="143"/>
      <c r="D41" s="143"/>
      <c r="E41" s="143"/>
      <c r="F41" s="143"/>
      <c r="G41" s="143"/>
      <c r="H41" s="143">
        <f t="array" ref="H41">SUM(IF('2014-2017 Projects'!$C$6:$C$252="5.4 - Auxilliary &amp; Telecommunication Support",'2014-2017 Projects'!$AK$6:$AK$252,0))</f>
        <v>0</v>
      </c>
      <c r="I41" s="143">
        <f t="array" ref="I41">SUM(IF('2014-2017 Projects'!$C$6:$C$252="5.4 - Auxilliary &amp; Telecommunication Support",'2014-2017 Projects'!$AM$6:$AM$252,0))</f>
        <v>150000</v>
      </c>
      <c r="J41" s="143">
        <f t="array" ref="J41">SUM(IF('2014-2017 Projects'!$C$6:$C$252="5.1 - Office of The Director of Corporate Services",'2014-2017 Projects'!$AN$6:$AN$252,0))</f>
        <v>0</v>
      </c>
      <c r="K41" s="143">
        <f t="array" ref="K41">SUM(IF('2014-2017 Projects'!$C$6:$C$252="5.1 - Office of The Director of Corporate Services",'2014-2017 Projects'!$AP$6:$AP$252,0))</f>
        <v>0</v>
      </c>
      <c r="L41" s="143">
        <f t="array" ref="L41">SUM(IF('2014-2017 Projects'!$C$6:$C$252="5.4 - Auxilliary &amp; Telecommunication Support",'2014-2017 Projects'!$AQ$6:$AQ$252,0))</f>
        <v>0</v>
      </c>
      <c r="M41" s="143">
        <f t="array" ref="M41">SUM(IF('2014-2017 Projects'!$C$6:$C$252="5.1 - Office of The Director of Corporate Services",'2014-2017 Projects'!$AS$6:$AS$252,0))</f>
        <v>0</v>
      </c>
      <c r="N41" s="143">
        <f t="array" ref="N41">SUM(IF('2014-2017 Projects'!$C$6:$C$252="5.4 - Auxilliary &amp; Telecommunication Support",'2014-2017 Projects'!$AT$6:$AT$252,0))</f>
        <v>0</v>
      </c>
      <c r="O41" s="143">
        <f t="array" ref="O41">SUM(IF('2014-2017 Projects'!$C$6:$C$252="5.4 - Auxilliary &amp; Telecommunication Support",'2014-2017 Projects'!$AV$6:$AV$252,0))</f>
        <v>0</v>
      </c>
      <c r="P41" s="143">
        <f t="array" ref="P41">SUM(IF('2014-2017 Projects'!$C$6:$C$252="5.4 - Auxilliary &amp; Telecommunication Support",'2014-2017 Projects'!$AW$6:$AW$252,0))</f>
        <v>0</v>
      </c>
      <c r="Q41" s="143">
        <f t="array" ref="Q41">SUM(IF('2014-2017 Projects'!$C$6:$C$252="5.4 - Auxilliary &amp; Telecommunication Support",'2014-2017 Projects'!$AY$6:$AY$252,0))</f>
        <v>0</v>
      </c>
      <c r="R41" s="143"/>
      <c r="S41" s="143"/>
      <c r="T41" s="143"/>
      <c r="U41" s="143"/>
      <c r="V41" s="143"/>
      <c r="W41" s="143"/>
      <c r="X41" s="143"/>
      <c r="Y41" s="143"/>
      <c r="Z41" s="143"/>
      <c r="AA41" s="143"/>
      <c r="AB41" s="143"/>
      <c r="AC41" s="143"/>
      <c r="AD41" s="143"/>
      <c r="AE41" s="143"/>
      <c r="AF41" s="143"/>
      <c r="AG41" s="143"/>
      <c r="AH41" s="143">
        <f t="array" ref="AH41">SUM(IF('2014-2017 Projects'!$C$6:$C$252="5.4 - Auxilliary &amp; Telecommunication Support",'2014-2017 Projects'!$BY$6:$BY$252,0))</f>
        <v>0</v>
      </c>
      <c r="AI41" s="143">
        <f t="array" ref="AI41">SUM(IF('2014-2017 Projects'!$C$6:$C$252="5.4 - Auxilliary &amp; Telecommunication Support",'2014-2017 Projects'!$BZ$6:$BZ$252,0))</f>
        <v>0</v>
      </c>
      <c r="AJ41" s="143">
        <f t="array" ref="AJ41">SUM(IF('2014-2017 Projects'!$C$6:$C$252="5.4 - Auxilliary &amp; Telecommunication Support",'2014-2017 Projects'!$BX$6:$BX$252,0))</f>
        <v>0</v>
      </c>
      <c r="AK41" s="143">
        <f t="shared" ref="AK41" si="20">I41-AH41</f>
        <v>150000</v>
      </c>
      <c r="AL41" s="143">
        <f t="shared" ref="AL41" si="21">I41-AI41</f>
        <v>150000</v>
      </c>
      <c r="AM41" s="390" t="e">
        <f t="shared" ref="AM41" si="22">AH41/H41</f>
        <v>#DIV/0!</v>
      </c>
      <c r="AN41" s="390" t="e">
        <f t="shared" ref="AN41" si="23">AI41/H41</f>
        <v>#DIV/0!</v>
      </c>
      <c r="AO41" s="156"/>
      <c r="AP41" s="156"/>
      <c r="AQ41" s="156"/>
      <c r="AR41" s="156"/>
      <c r="AS41" s="156"/>
      <c r="AT41" s="307"/>
      <c r="AU41" s="323"/>
      <c r="AV41" s="323"/>
      <c r="AW41" s="323"/>
      <c r="AX41" s="154"/>
    </row>
    <row r="42" spans="1:50" s="132" customFormat="1" x14ac:dyDescent="0.2">
      <c r="A42" s="169" t="s">
        <v>228</v>
      </c>
      <c r="B42" s="143">
        <f t="array" ref="B42">SUM(IF('2014-2017 Projects'!$A$6:$A$277="Chief Operations Officer",'2014-2017 Projects'!$AG$6:$AG$277,0))</f>
        <v>0</v>
      </c>
      <c r="C42" s="143">
        <f t="array" ref="C42">SUM(IF('2014-2017 Projects'!$A$6:$A$277="Chief Operations Officer",'2014-2017 Projects'!$AG$6:$AG$277,0))</f>
        <v>0</v>
      </c>
      <c r="D42" s="143">
        <f t="array" ref="D42">SUM(IF('2014-2017 Projects'!$A$6:$A$277="Chief Operations Officer",'2014-2017 Projects'!$AG$6:$AG$277,0))</f>
        <v>0</v>
      </c>
      <c r="E42" s="143">
        <f t="array" ref="E42">SUM(IF('2014-2017 Projects'!$A$6:$A$277="Chief Operations Officer",'2014-2017 Projects'!$AH$6:$AH$277,0))</f>
        <v>0</v>
      </c>
      <c r="F42" s="143">
        <f t="array" ref="F42">SUM(IF('2014-2017 Projects'!$A$6:$A$277="Chief Operations Officer",'2014-2017 Projects'!$AI$6:$AI$277,0))</f>
        <v>0</v>
      </c>
      <c r="G42" s="143">
        <f t="array" ref="G42">SUM(IF('2014-2017 Projects'!$A$6:$A$277="Chief Operations Officer",'2014-2017 Projects'!$AG$6:$AG$277,0))</f>
        <v>0</v>
      </c>
      <c r="H42" s="143">
        <f t="array" ref="H42">SUM(IF('2014-2017 Projects'!$C$6:$C$252="5.6 - Management Information Services",'2014-2017 Projects'!$AK$6:$AK$252,0))</f>
        <v>10000000</v>
      </c>
      <c r="I42" s="143">
        <f t="array" ref="I42">SUM(IF('2014-2017 Projects'!$C$6:$C$252="5.6 - Management Information Services",'2014-2017 Projects'!$AM$6:$AM$252,0))</f>
        <v>18016133</v>
      </c>
      <c r="J42" s="143">
        <f t="array" ref="J42">SUM(IF('2014-2017 Projects'!$C$6:$C$252="5.6 - Management Information Services",'2014-2017 Projects'!$AN$6:$AN$252,0))</f>
        <v>0</v>
      </c>
      <c r="K42" s="143">
        <f t="array" ref="K42">SUM(IF('2014-2017 Projects'!$C$6:$C$252="5.6 - Management Information Services",'2014-2017 Projects'!$AP$6:$AP$252,0))</f>
        <v>0</v>
      </c>
      <c r="L42" s="143">
        <f t="array" ref="L42">SUM(IF('2014-2017 Projects'!$C$6:$C$252="5.6 - Management Information Services",'2014-2017 Projects'!$AQ$6:$AQ$252,0))</f>
        <v>0</v>
      </c>
      <c r="M42" s="143">
        <f t="array" ref="M42">SUM(IF('2014-2017 Projects'!$C$6:$C$252="5.6 - Management Information Services",'2014-2017 Projects'!$AS$6:$AS$252,0))</f>
        <v>0</v>
      </c>
      <c r="N42" s="143">
        <f t="array" ref="N42">SUM(IF('2014-2017 Projects'!$C$6:$C$252="5.6 - Management Information Services",'2014-2017 Projects'!$AT$6:$AT$252,0))</f>
        <v>587015.67000000004</v>
      </c>
      <c r="O42" s="143">
        <f t="array" ref="O42">SUM(IF('2014-2017 Projects'!$C$6:$C$252="5.6 - Management Information Services",'2014-2017 Projects'!$AV$6:$AV$252,0))</f>
        <v>587015.67000000004</v>
      </c>
      <c r="P42" s="143">
        <f t="array" ref="P42">SUM(IF('2014-2017 Projects'!$C$6:$C$252="5.6 - Management Information Services",'2014-2017 Projects'!$AW$6:$AW$252,0))</f>
        <v>353865.69</v>
      </c>
      <c r="Q42" s="143">
        <f t="array" ref="Q42">SUM(IF('2014-2017 Projects'!$C$6:$C$252="5.6 - Management Information Services",'2014-2017 Projects'!$AY$6:$AY$252,0))</f>
        <v>353865.69</v>
      </c>
      <c r="R42" s="143"/>
      <c r="S42" s="143"/>
      <c r="T42" s="143"/>
      <c r="U42" s="143"/>
      <c r="V42" s="143"/>
      <c r="W42" s="143"/>
      <c r="X42" s="143"/>
      <c r="Y42" s="143"/>
      <c r="Z42" s="143"/>
      <c r="AA42" s="143"/>
      <c r="AB42" s="143"/>
      <c r="AC42" s="143"/>
      <c r="AD42" s="143"/>
      <c r="AE42" s="143"/>
      <c r="AF42" s="143"/>
      <c r="AG42" s="143"/>
      <c r="AH42" s="143">
        <f t="array" ref="AH42">SUM(IF('2014-2017 Projects'!$C$6:$C$252="5.6 - Management Information Services",'2014-2017 Projects'!$BY$6:$BY$252,0))</f>
        <v>940881.3600000001</v>
      </c>
      <c r="AI42" s="143">
        <f t="array" ref="AI42">SUM(IF('2014-2017 Projects'!$C$6:$C$252="5.6 - Management Information Services",'2014-2017 Projects'!$BZ$6:$BZ$252,0))</f>
        <v>940881.3600000001</v>
      </c>
      <c r="AJ42" s="143">
        <f t="array" ref="AJ42">SUM(IF('2014-2017 Projects'!$C$6:$C$252="5.6 - Management Information Services",'2014-2017 Projects'!$BX$6:$BX$252,0))</f>
        <v>646677.5</v>
      </c>
      <c r="AK42" s="143">
        <f t="shared" si="10"/>
        <v>17075251.640000001</v>
      </c>
      <c r="AL42" s="143">
        <f t="shared" si="11"/>
        <v>17075251.640000001</v>
      </c>
      <c r="AM42" s="390">
        <f t="shared" si="12"/>
        <v>9.4088136000000017E-2</v>
      </c>
      <c r="AN42" s="390">
        <f t="shared" si="13"/>
        <v>9.4088136000000017E-2</v>
      </c>
      <c r="AO42" s="156"/>
      <c r="AP42" s="156"/>
      <c r="AQ42" s="156"/>
      <c r="AR42" s="156"/>
      <c r="AS42" s="156"/>
      <c r="AT42" s="307"/>
      <c r="AU42" s="323"/>
      <c r="AV42" s="323"/>
      <c r="AW42" s="323"/>
      <c r="AX42" s="154"/>
    </row>
    <row r="43" spans="1:50" s="132" customFormat="1" x14ac:dyDescent="0.2">
      <c r="A43" s="169" t="s">
        <v>632</v>
      </c>
      <c r="B43" s="143">
        <f t="array" ref="B43">SUM(IF('2014-2017 Projects'!$A$6:$A$277="Financial Services",'2014-2017 Projects'!$AG$6:$AG$277,0))</f>
        <v>0</v>
      </c>
      <c r="C43" s="143">
        <f t="array" ref="C43">SUM(IF('2014-2017 Projects'!$A$6:$A$277="Financial Services",'2014-2017 Projects'!$AG$6:$AG$277,0))</f>
        <v>0</v>
      </c>
      <c r="D43" s="143">
        <f t="array" ref="D43">SUM(IF('2014-2017 Projects'!$A$6:$A$277="Financial Services",'2014-2017 Projects'!$AG$6:$AG$277,0))</f>
        <v>0</v>
      </c>
      <c r="E43" s="143">
        <f t="array" ref="E43">SUM(IF('2014-2017 Projects'!$A$6:$A$277="Financial Services",'2014-2017 Projects'!$AH$6:$AH$277,0))</f>
        <v>0</v>
      </c>
      <c r="F43" s="143">
        <f t="array" ref="F43">SUM(IF('2014-2017 Projects'!$A$6:$A$277="Financial Services",'2014-2017 Projects'!$AI$6:$AI$277,0))</f>
        <v>0</v>
      </c>
      <c r="G43" s="143"/>
      <c r="H43" s="143">
        <f t="array" ref="H43">SUM(IF('2014-2017 Projects'!$C$6:$C$252="5.7 - H.R. Administration",'2014-2017 Projects'!$AK$6:$AK$252,0))</f>
        <v>2100000</v>
      </c>
      <c r="I43" s="143">
        <f t="array" ref="I43">SUM(IF('2014-2017 Projects'!$C$6:$C$252="5.7 - H.R. Administration",'2014-2017 Projects'!$AM$6:$AM$252,0))</f>
        <v>2100000</v>
      </c>
      <c r="J43" s="143">
        <f t="array" ref="J43">SUM(IF('2014-2017 Projects'!$C$6:$C$252="5.7 - H.R. Administration",'2014-2017 Projects'!$AN$6:$AN$252,0))</f>
        <v>0</v>
      </c>
      <c r="K43" s="143">
        <f t="array" ref="K43">SUM(IF('2014-2017 Projects'!$C$6:$C$252="5.7 - H.R. Administration",'2014-2017 Projects'!$AP$6:$AP$252,0))</f>
        <v>0</v>
      </c>
      <c r="L43" s="143">
        <f t="array" ref="L43">SUM(IF('2014-2017 Projects'!$C$6:$C$252="5.7 - H.R. Administration",'2014-2017 Projects'!$AQ$6:$AQ$252,0))</f>
        <v>0</v>
      </c>
      <c r="M43" s="143">
        <f t="array" ref="M43">SUM(IF('2014-2017 Projects'!$C$6:$C$252="5.7 - H.R. Administration",'2014-2017 Projects'!$AS$6:$AS$252,0))</f>
        <v>0</v>
      </c>
      <c r="N43" s="143">
        <f t="array" ref="N43">SUM(IF('2014-2017 Projects'!$C$6:$C$252="5.7 - H.R. Administration",'2014-2017 Projects'!$AT$6:$AT$252,0))</f>
        <v>0</v>
      </c>
      <c r="O43" s="143">
        <f t="array" ref="O43">SUM(IF('2014-2017 Projects'!$C$6:$C$252="5.7 - H.R. Administration",'2014-2017 Projects'!$AV$6:$AV$252,0))</f>
        <v>0</v>
      </c>
      <c r="P43" s="143">
        <f t="array" ref="P43">SUM(IF('2014-2017 Projects'!$C$6:$C$252="5.7 - H.R. Administration",'2014-2017 Projects'!$AW$6:$AW$252,0))</f>
        <v>0</v>
      </c>
      <c r="Q43" s="143">
        <f t="array" ref="Q43">SUM(IF('2014-2017 Projects'!$C$6:$C$252="5.7 - H.R. Administration",'2014-2017 Projects'!$AY$6:$AY$252,0))</f>
        <v>0</v>
      </c>
      <c r="R43" s="143"/>
      <c r="S43" s="143"/>
      <c r="T43" s="143"/>
      <c r="U43" s="143"/>
      <c r="V43" s="143"/>
      <c r="W43" s="143"/>
      <c r="X43" s="143"/>
      <c r="Y43" s="143"/>
      <c r="Z43" s="143"/>
      <c r="AA43" s="143"/>
      <c r="AB43" s="143"/>
      <c r="AC43" s="143"/>
      <c r="AD43" s="143"/>
      <c r="AE43" s="143"/>
      <c r="AF43" s="143"/>
      <c r="AG43" s="143"/>
      <c r="AH43" s="143">
        <f t="array" ref="AH43">SUM(IF('2014-2017 Projects'!$C$6:$C$252="5.7 - H.R. Administration",'2014-2017 Projects'!$BY$6:$BY$252,0))</f>
        <v>0</v>
      </c>
      <c r="AI43" s="143">
        <f t="array" ref="AI43">SUM(IF('2014-2017 Projects'!$C$6:$C$252="5.7 - H.R. Administration",'2014-2017 Projects'!$BZ$6:$BZ$252,0))</f>
        <v>0</v>
      </c>
      <c r="AJ43" s="143">
        <f t="array" ref="AJ43">SUM(IF('2014-2017 Projects'!$C$6:$C$252="5.7 - H.R. Administration",'2014-2017 Projects'!$BX$6:$BX$252,0))</f>
        <v>0</v>
      </c>
      <c r="AK43" s="143">
        <f t="shared" si="10"/>
        <v>2100000</v>
      </c>
      <c r="AL43" s="143">
        <f t="shared" si="11"/>
        <v>2100000</v>
      </c>
      <c r="AM43" s="390">
        <f t="shared" si="12"/>
        <v>0</v>
      </c>
      <c r="AN43" s="390">
        <f t="shared" si="13"/>
        <v>0</v>
      </c>
      <c r="AO43" s="156"/>
      <c r="AP43" s="156"/>
      <c r="AQ43" s="156"/>
      <c r="AR43" s="156"/>
      <c r="AS43" s="156"/>
      <c r="AT43" s="307"/>
      <c r="AU43" s="323"/>
      <c r="AV43" s="323"/>
      <c r="AW43" s="323"/>
      <c r="AX43" s="154"/>
    </row>
    <row r="44" spans="1:50" s="132" customFormat="1" x14ac:dyDescent="0.2">
      <c r="A44" s="169" t="s">
        <v>647</v>
      </c>
      <c r="B44" s="143"/>
      <c r="C44" s="143"/>
      <c r="D44" s="143"/>
      <c r="E44" s="143"/>
      <c r="F44" s="143"/>
      <c r="G44" s="143"/>
      <c r="H44" s="143">
        <f t="array" ref="H44">SUM(IF('2014-2017 Projects'!$C$6:$C$252="5.8 - Occupational Risk Management",'2014-2017 Projects'!$AK$6:$AK$252,0))</f>
        <v>2500000</v>
      </c>
      <c r="I44" s="143">
        <f t="array" ref="I44">SUM(IF('2014-2017 Projects'!$C$6:$C$252="5.8 - Occupational Risk Management",'2014-2017 Projects'!$AM$6:$AM$252,0))</f>
        <v>2500000</v>
      </c>
      <c r="J44" s="143">
        <f t="array" ref="J44">SUM(IF('2014-2017 Projects'!$C$6:$C$252="5.8 - Occupational Risk Management",'2014-2017 Projects'!$AN$6:$AN$252,0))</f>
        <v>0</v>
      </c>
      <c r="K44" s="143">
        <f t="array" ref="K44">SUM(IF('2014-2017 Projects'!$C$6:$C$252="5.8 - Occupational Risk Management",'2014-2017 Projects'!$AP$6:$AP$252,0))</f>
        <v>0</v>
      </c>
      <c r="L44" s="143">
        <f t="array" ref="L44">SUM(IF('2014-2017 Projects'!$C$6:$C$252="5.8 - Occupational Risk Management",'2014-2017 Projects'!$AQ$6:$AQ$252,0))</f>
        <v>0</v>
      </c>
      <c r="M44" s="143">
        <f t="array" ref="M44">SUM(IF('2014-2017 Projects'!$C$6:$C$252="5.8 - Occupational Risk Management",'2014-2017 Projects'!$AS$6:$AS$252,0))</f>
        <v>0</v>
      </c>
      <c r="N44" s="143">
        <f t="array" ref="N44">SUM(IF('2014-2017 Projects'!$C$6:$C$252="5.8 - Occupational Risk Management",'2014-2017 Projects'!$AT$6:$AT$252,0))</f>
        <v>2761.12</v>
      </c>
      <c r="O44" s="143">
        <f t="array" ref="O44">SUM(IF('2014-2017 Projects'!$C$6:$C$252="5.8 - Occupational Risk Management",'2014-2017 Projects'!$AV$6:$AV$252,0))</f>
        <v>2761.12</v>
      </c>
      <c r="P44" s="143">
        <f t="array" ref="P44">SUM(IF('2014-2017 Projects'!$C$6:$C$252="5.8 - Occupational Risk Management",'2014-2017 Projects'!$AW$6:$AW$252,0))</f>
        <v>0</v>
      </c>
      <c r="Q44" s="143">
        <f t="array" ref="Q44">SUM(IF('2014-2017 Projects'!$C$6:$C$252="5.8 - Occupational Risk Management",'2014-2017 Projects'!$AY$6:$AY$252,0))</f>
        <v>0</v>
      </c>
      <c r="R44" s="143"/>
      <c r="S44" s="143"/>
      <c r="T44" s="143"/>
      <c r="U44" s="143"/>
      <c r="V44" s="143"/>
      <c r="W44" s="143"/>
      <c r="X44" s="143"/>
      <c r="Y44" s="143"/>
      <c r="Z44" s="143"/>
      <c r="AA44" s="143"/>
      <c r="AB44" s="143"/>
      <c r="AC44" s="143"/>
      <c r="AD44" s="143"/>
      <c r="AE44" s="143"/>
      <c r="AF44" s="143"/>
      <c r="AG44" s="143"/>
      <c r="AH44" s="143">
        <f t="array" ref="AH44">SUM(IF('2014-2017 Projects'!$C$6:$C$252="5.8 - Occupational Risk Management",'2014-2017 Projects'!$BY$6:$BY$252,0))</f>
        <v>2761.12</v>
      </c>
      <c r="AI44" s="143">
        <f t="array" ref="AI44">SUM(IF('2014-2017 Projects'!$C$6:$C$252="5.8 - Occupational Risk Management",'2014-2017 Projects'!$BZ$6:$BZ$252,0))</f>
        <v>2761.12</v>
      </c>
      <c r="AJ44" s="143">
        <f t="array" ref="AJ44">SUM(IF('2014-2017 Projects'!$C$6:$C$252="5.8 - Occupational Risk Management",'2014-2017 Projects'!$BX$6:$BX$252,0))</f>
        <v>0</v>
      </c>
      <c r="AK44" s="143">
        <f t="shared" si="10"/>
        <v>2497238.88</v>
      </c>
      <c r="AL44" s="143">
        <f t="shared" si="11"/>
        <v>2497238.88</v>
      </c>
      <c r="AM44" s="390">
        <f t="shared" ref="AM44" si="24">AH44/H44</f>
        <v>1.1044480000000001E-3</v>
      </c>
      <c r="AN44" s="390">
        <f t="shared" ref="AN44" si="25">AI44/H44</f>
        <v>1.1044480000000001E-3</v>
      </c>
      <c r="AO44" s="156"/>
      <c r="AP44" s="156"/>
      <c r="AQ44" s="156"/>
      <c r="AR44" s="156"/>
      <c r="AS44" s="156"/>
      <c r="AT44" s="307"/>
      <c r="AU44" s="323"/>
      <c r="AV44" s="323"/>
      <c r="AW44" s="323"/>
      <c r="AX44" s="154"/>
    </row>
    <row r="45" spans="1:50" s="132" customFormat="1" x14ac:dyDescent="0.2">
      <c r="A45" s="169" t="s">
        <v>229</v>
      </c>
      <c r="B45" s="143">
        <f t="array" ref="B45">SUM(IF('2014-2017 Projects'!$A$6:$A$277="Corporate Services",'2014-2017 Projects'!$AG$6:$AG$277,0))</f>
        <v>6600000</v>
      </c>
      <c r="C45" s="143">
        <f t="array" ref="C45">SUM(IF('2014-2017 Projects'!$A$6:$A$277="Corporate Services",'2014-2017 Projects'!$AG$6:$AG$277,0))</f>
        <v>6600000</v>
      </c>
      <c r="D45" s="143">
        <f t="array" ref="D45">SUM(IF('2014-2017 Projects'!$A$6:$A$277="Corporate Services",'2014-2017 Projects'!$AG$6:$AG$277,0))</f>
        <v>6600000</v>
      </c>
      <c r="E45" s="143">
        <f t="array" ref="E45">SUM(IF('2014-2017 Projects'!$A$6:$A$277="Corporate Services",'2014-2017 Projects'!$AH$6:$AH$277,0))</f>
        <v>0</v>
      </c>
      <c r="F45" s="143">
        <f t="array" ref="F45">SUM(IF('2014-2017 Projects'!$A$6:$A$277="Corporate Services",'2014-2017 Projects'!$AI$6:$AI$277,0))</f>
        <v>6600000</v>
      </c>
      <c r="G45" s="143"/>
      <c r="H45" s="143">
        <f t="array" ref="H45">SUM(IF('2014-2017 Projects'!$C$6:$C$252="5.9 - Labour Relations",'2014-2017 Projects'!$AK$6:$AK$252,0))</f>
        <v>0</v>
      </c>
      <c r="I45" s="143">
        <f t="array" ref="I45">SUM(IF('2014-2017 Projects'!$C$6:$C$252="5.9 - Labour Relations",'2014-2017 Projects'!$AM$6:$AM$252,0))</f>
        <v>0</v>
      </c>
      <c r="J45" s="143">
        <f t="array" ref="J45">SUM(IF('2014-2017 Projects'!$C$6:$C$252="5.9 - Labour Relations",'2014-2017 Projects'!$AN$6:$AN$252,0))</f>
        <v>0</v>
      </c>
      <c r="K45" s="143">
        <f t="array" ref="K45">SUM(IF('2014-2017 Projects'!$C$6:$C$252="5.9 - Labour Relations",'2014-2017 Projects'!$AP$6:$AP$252,0))</f>
        <v>0</v>
      </c>
      <c r="L45" s="143">
        <f t="array" ref="L45">SUM(IF('2014-2017 Projects'!$C$6:$C$252="5.9 - Labour Relations",'2014-2017 Projects'!$AQ$6:$AQ$252,0))</f>
        <v>0</v>
      </c>
      <c r="M45" s="143">
        <f t="array" ref="M45">SUM(IF('2014-2017 Projects'!$C$6:$C$252="5.9 - Labour Relations",'2014-2017 Projects'!$AS$6:$AS$252,0))</f>
        <v>0</v>
      </c>
      <c r="N45" s="143">
        <f t="array" ref="N45">SUM(IF('2014-2017 Projects'!$C$6:$C$252="5.9 - Labour Relations",'2014-2017 Projects'!$AT$6:$AT$252,0))</f>
        <v>0</v>
      </c>
      <c r="O45" s="143">
        <f t="array" ref="O45">SUM(IF('2014-2017 Projects'!$C$6:$C$252="5.9 - Labour Relations",'2014-2017 Projects'!$AV$6:$AV$252,0))</f>
        <v>0</v>
      </c>
      <c r="P45" s="143">
        <f t="array" ref="P45">SUM(IF('2014-2017 Projects'!$C$6:$C$252="5.9 - Labour Relations",'2014-2017 Projects'!$AW$6:$AW$252,0))</f>
        <v>0</v>
      </c>
      <c r="Q45" s="143">
        <f t="array" ref="Q45">SUM(IF('2014-2017 Projects'!$C$6:$C$252="5.9 - Labour Relations",'2014-2017 Projects'!$AY$6:$AY$252,0))</f>
        <v>0</v>
      </c>
      <c r="R45" s="143"/>
      <c r="S45" s="143"/>
      <c r="T45" s="143"/>
      <c r="U45" s="143"/>
      <c r="V45" s="143"/>
      <c r="W45" s="143"/>
      <c r="X45" s="143"/>
      <c r="Y45" s="143"/>
      <c r="Z45" s="143"/>
      <c r="AA45" s="143"/>
      <c r="AB45" s="143"/>
      <c r="AC45" s="143"/>
      <c r="AD45" s="143"/>
      <c r="AE45" s="143"/>
      <c r="AF45" s="143"/>
      <c r="AG45" s="143"/>
      <c r="AH45" s="143">
        <f t="array" ref="AH45">SUM(IF('2014-2017 Projects'!$C$6:$C$252="5.9 - Labour Relations",'2014-2017 Projects'!$BY$6:$BY$252,0))</f>
        <v>0</v>
      </c>
      <c r="AI45" s="143">
        <f t="array" ref="AI45">SUM(IF('2014-2017 Projects'!$C$6:$C$252="5.9 - Labour Relations",'2014-2017 Projects'!$BZ$6:$BZ$252,0))</f>
        <v>0</v>
      </c>
      <c r="AJ45" s="143">
        <f t="array" ref="AJ45">SUM(IF('2014-2017 Projects'!$C$6:$C$252="5.9 - Labour Relations",'2014-2017 Projects'!$BX$6:$BX$252,0))</f>
        <v>0</v>
      </c>
      <c r="AK45" s="143">
        <f t="shared" si="10"/>
        <v>0</v>
      </c>
      <c r="AL45" s="143">
        <f t="shared" si="11"/>
        <v>0</v>
      </c>
      <c r="AM45" s="390" t="e">
        <f t="shared" si="12"/>
        <v>#DIV/0!</v>
      </c>
      <c r="AN45" s="390" t="e">
        <f t="shared" si="13"/>
        <v>#DIV/0!</v>
      </c>
      <c r="AO45" s="156"/>
      <c r="AP45" s="156"/>
      <c r="AQ45" s="156"/>
      <c r="AR45" s="156"/>
      <c r="AS45" s="156"/>
      <c r="AT45" s="307"/>
      <c r="AU45" s="323"/>
      <c r="AV45" s="323"/>
      <c r="AW45" s="323"/>
      <c r="AX45" s="154"/>
    </row>
    <row r="46" spans="1:50" s="132" customFormat="1" x14ac:dyDescent="0.2">
      <c r="A46" s="169" t="s">
        <v>631</v>
      </c>
      <c r="B46" s="143">
        <f t="array" ref="B46">SUM(IF('2014-2017 Projects'!$A$6:$A$298="Municipal Manager's Office",'2014-2017 Projects'!$AG$6:$AG$298,0))</f>
        <v>12750000</v>
      </c>
      <c r="C46" s="143">
        <f t="array" ref="C46">SUM(IF('2014-2017 Projects'!$A$6:$A$298="Municipal Manager's Office",'2014-2017 Projects'!$AG$6:$AG$298,0))</f>
        <v>12750000</v>
      </c>
      <c r="D46" s="143">
        <f t="array" ref="D46">SUM(IF('2014-2017 Projects'!$A$6:$A$298="Municipal Manager's Office",'2014-2017 Projects'!$AG$6:$AG$298,0))</f>
        <v>12750000</v>
      </c>
      <c r="E46" s="143">
        <f t="array" ref="E46">SUM(IF('2014-2017 Projects'!$A$6:$A$298="Municipal Manager's Office",'2014-2017 Projects'!$AH$6:$AH$298,0))</f>
        <v>-10000000</v>
      </c>
      <c r="F46" s="143">
        <f t="array" ref="F46">SUM(IF('2014-2017 Projects'!$A$6:$A$298="Municipal Manager's Office",'2014-2017 Projects'!$AI$6:$AI$298,0))</f>
        <v>2750000</v>
      </c>
      <c r="G46" s="143"/>
      <c r="H46" s="143">
        <f t="array" ref="H46">SUM(IF('2014-2017 Projects'!$C$6:$C$252="5.10 - Organisational Development",'2014-2017 Projects'!$AK$6:$AK$252,0))</f>
        <v>0</v>
      </c>
      <c r="I46" s="143">
        <f t="array" ref="I46">SUM(IF('2014-2017 Projects'!$C$6:$C$252="5.10 - Organisational Development",'2014-2017 Projects'!$AM$6:$AM$252,0))</f>
        <v>0</v>
      </c>
      <c r="J46" s="143">
        <f t="array" ref="J46">SUM(IF('2014-2017 Projects'!$C$6:$C$252="5.10 - Organisational Development",'2014-2017 Projects'!$AN$6:$AN$252,0))</f>
        <v>0</v>
      </c>
      <c r="K46" s="143">
        <f t="array" ref="K46">SUM(IF('2014-2017 Projects'!$C$6:$C$252="5.10 - Organisational Development",'2014-2017 Projects'!$AP$6:$AP$252,0))</f>
        <v>0</v>
      </c>
      <c r="L46" s="143">
        <f t="array" ref="L46">SUM(IF('2014-2017 Projects'!$C$6:$C$252="5.10 - Organisational Development",'2014-2017 Projects'!$AQ$6:$AQ$252,0))</f>
        <v>0</v>
      </c>
      <c r="M46" s="143">
        <f t="array" ref="M46">SUM(IF('2014-2017 Projects'!$C$6:$C$252="5.10 - Organisational Development",'2014-2017 Projects'!$AS$6:$AS$252,0))</f>
        <v>0</v>
      </c>
      <c r="N46" s="143">
        <f t="array" ref="N46">SUM(IF('2014-2017 Projects'!$C$6:$C$252="5.10 - Organisational Development",'2014-2017 Projects'!$AT$6:$AT$252,0))</f>
        <v>0</v>
      </c>
      <c r="O46" s="143">
        <f t="array" ref="O46">SUM(IF('2014-2017 Projects'!$C$6:$C$252="5.10 - Organisational Development",'2014-2017 Projects'!$AV$6:$AV$252,0))</f>
        <v>0</v>
      </c>
      <c r="P46" s="143">
        <f t="array" ref="P46">SUM(IF('2014-2017 Projects'!$C$6:$C$252="5.10 - Organisational Development",'2014-2017 Projects'!$AW$6:$AW$252,0))</f>
        <v>0</v>
      </c>
      <c r="Q46" s="143">
        <f t="array" ref="Q46">SUM(IF('2014-2017 Projects'!$C$6:$C$252="5.10 - Organisational Development",'2014-2017 Projects'!$AY$6:$AY$252,0))</f>
        <v>0</v>
      </c>
      <c r="R46" s="143"/>
      <c r="S46" s="143"/>
      <c r="T46" s="143"/>
      <c r="U46" s="143"/>
      <c r="V46" s="143"/>
      <c r="W46" s="143"/>
      <c r="X46" s="143"/>
      <c r="Y46" s="143"/>
      <c r="Z46" s="143"/>
      <c r="AA46" s="143"/>
      <c r="AB46" s="143"/>
      <c r="AC46" s="143"/>
      <c r="AD46" s="143"/>
      <c r="AE46" s="143"/>
      <c r="AF46" s="143"/>
      <c r="AG46" s="143"/>
      <c r="AH46" s="143">
        <f t="array" ref="AH46">SUM(IF('2014-2017 Projects'!$C$6:$C$252="5.10 - Organisational Development",'2014-2017 Projects'!$BY$6:$BY$252,0))</f>
        <v>0</v>
      </c>
      <c r="AI46" s="143">
        <f t="array" ref="AI46">SUM(IF('2014-2017 Projects'!$C$6:$C$252="5.10 - Organisational Development",'2014-2017 Projects'!$BZ$6:$BZ$252,0))</f>
        <v>0</v>
      </c>
      <c r="AJ46" s="143">
        <f t="array" ref="AJ46">SUM(IF('2014-2017 Projects'!$C$6:$C$252="5.10 - Organisational Development",'2014-2017 Projects'!$BX$6:$BX$252,0))</f>
        <v>0</v>
      </c>
      <c r="AK46" s="143">
        <f t="shared" si="10"/>
        <v>0</v>
      </c>
      <c r="AL46" s="143">
        <f t="shared" si="11"/>
        <v>0</v>
      </c>
      <c r="AM46" s="390" t="e">
        <f>AH46/H46</f>
        <v>#DIV/0!</v>
      </c>
      <c r="AN46" s="390" t="e">
        <f>AI46/H46</f>
        <v>#DIV/0!</v>
      </c>
      <c r="AO46" s="156"/>
      <c r="AP46" s="156"/>
      <c r="AQ46" s="156"/>
      <c r="AR46" s="156"/>
      <c r="AS46" s="156"/>
      <c r="AT46" s="307"/>
      <c r="AU46" s="323"/>
      <c r="AV46" s="323"/>
      <c r="AW46" s="323"/>
      <c r="AX46" s="154"/>
    </row>
    <row r="47" spans="1:50" s="132" customFormat="1" x14ac:dyDescent="0.2">
      <c r="A47" s="169" t="s">
        <v>648</v>
      </c>
      <c r="B47" s="143"/>
      <c r="C47" s="143"/>
      <c r="D47" s="143"/>
      <c r="E47" s="143"/>
      <c r="F47" s="143"/>
      <c r="G47" s="143"/>
      <c r="H47" s="143">
        <f t="array" ref="H47">SUM(IF('2014-2017 Projects'!$C$6:$C$252="6.1 - Office of The Director of Engineering Services",'2014-2017 Projects'!$AK$6:$AK$252,0))</f>
        <v>500000</v>
      </c>
      <c r="I47" s="143">
        <f t="array" ref="I47">SUM(IF('2014-2017 Projects'!$C$6:$C$252="6.1 - Office of The Director of Engineering Services",'2014-2017 Projects'!$AM$6:$AM$252,0))</f>
        <v>500000</v>
      </c>
      <c r="J47" s="143">
        <f t="array" ref="J47">SUM(IF('2014-2017 Projects'!$C$6:$C$252="6.1 - Office of The Director of Engineering Services",'2014-2017 Projects'!$AN$6:$AN$252,0))</f>
        <v>0</v>
      </c>
      <c r="K47" s="143">
        <f t="array" ref="K47">SUM(IF('2014-2017 Projects'!$C$6:$C$252="6.1 - Office of The Director of Engineering Services",'2014-2017 Projects'!$AP$6:$AP$252,0))</f>
        <v>0</v>
      </c>
      <c r="L47" s="143">
        <f t="array" ref="L47">SUM(IF('2014-2017 Projects'!$C$6:$C$252="6.1 - Office of The Director of Engineering Services",'2014-2017 Projects'!$AQ$6:$AQ$252,0))</f>
        <v>0</v>
      </c>
      <c r="M47" s="143">
        <f t="array" ref="M47">SUM(IF('2014-2017 Projects'!$C$6:$C$252="6.1 - Office of The Director of Engineering Services",'2014-2017 Projects'!$AS$6:$AS$252,0))</f>
        <v>0</v>
      </c>
      <c r="N47" s="143">
        <f t="array" ref="N47">SUM(IF('2014-2017 Projects'!$C$6:$C$252="6.1 - Office of The Director of Engineering Services",'2014-2017 Projects'!$AT$6:$AT$252,0))</f>
        <v>0</v>
      </c>
      <c r="O47" s="143">
        <f t="array" ref="O47">SUM(IF('2014-2017 Projects'!$C$6:$C$252="6.1 - Office of The Director of Engineering Services",'2014-2017 Projects'!$AV$6:$AV$252,0))</f>
        <v>0</v>
      </c>
      <c r="P47" s="143">
        <f t="array" ref="P47">SUM(IF('2014-2017 Projects'!$C$6:$C$252="6.1 - Office of The Director of Engineering Services",'2014-2017 Projects'!$AW$6:$AW$252,0))</f>
        <v>0</v>
      </c>
      <c r="Q47" s="143">
        <f t="array" ref="Q47">SUM(IF('2014-2017 Projects'!$C$6:$C$252="6.1 - Office of The Director of Engineering Services",'2014-2017 Projects'!$AY$6:$AY$252,0))</f>
        <v>0</v>
      </c>
      <c r="R47" s="143"/>
      <c r="S47" s="143"/>
      <c r="T47" s="143"/>
      <c r="U47" s="143"/>
      <c r="V47" s="143"/>
      <c r="W47" s="143"/>
      <c r="X47" s="143"/>
      <c r="Y47" s="143"/>
      <c r="Z47" s="143"/>
      <c r="AA47" s="143"/>
      <c r="AB47" s="143"/>
      <c r="AC47" s="143"/>
      <c r="AD47" s="143"/>
      <c r="AE47" s="143"/>
      <c r="AF47" s="143"/>
      <c r="AG47" s="143"/>
      <c r="AH47" s="143">
        <f t="array" ref="AH47">SUM(IF('2014-2017 Projects'!$C$6:$C$252="6.1 - Office of The Director of Engineering Services",'2014-2017 Projects'!$BY$6:$BY$252,0))</f>
        <v>0</v>
      </c>
      <c r="AI47" s="143">
        <f t="array" ref="AI47">SUM(IF('2014-2017 Projects'!$C$6:$C$252="6.1 - Office of The Director of Engineering Services",'2014-2017 Projects'!$BZ$6:$BZ$252,0))</f>
        <v>0</v>
      </c>
      <c r="AJ47" s="143">
        <f t="array" ref="AJ47">SUM(IF('2014-2017 Projects'!$C$6:$C$252="6.1 - Office of The Director of Engineering Services",'2014-2017 Projects'!$BX$6:$BX$252,0))</f>
        <v>133843.34</v>
      </c>
      <c r="AK47" s="143">
        <f t="shared" si="10"/>
        <v>500000</v>
      </c>
      <c r="AL47" s="143">
        <f t="shared" si="11"/>
        <v>500000</v>
      </c>
      <c r="AM47" s="390">
        <f>AH47/H47</f>
        <v>0</v>
      </c>
      <c r="AN47" s="390">
        <f>AI47/H47</f>
        <v>0</v>
      </c>
      <c r="AO47" s="156"/>
      <c r="AP47" s="156"/>
      <c r="AQ47" s="156"/>
      <c r="AR47" s="156"/>
      <c r="AS47" s="156"/>
      <c r="AT47" s="307"/>
      <c r="AU47" s="323"/>
      <c r="AV47" s="323"/>
      <c r="AW47" s="323"/>
      <c r="AX47" s="154"/>
    </row>
    <row r="48" spans="1:50" s="132" customFormat="1" x14ac:dyDescent="0.2">
      <c r="A48" s="169" t="s">
        <v>230</v>
      </c>
      <c r="B48" s="143">
        <f t="array" ref="B48">SUM(IF('2014-2017 Projects'!$A$6:$A$277="Chief Operations Officer",'2014-2017 Projects'!$AG$6:$AG$277,0))</f>
        <v>0</v>
      </c>
      <c r="C48" s="143">
        <f t="array" ref="C48">SUM(IF('2014-2017 Projects'!$A$6:$A$277="Chief Operations Officer",'2014-2017 Projects'!$AG$6:$AG$277,0))</f>
        <v>0</v>
      </c>
      <c r="D48" s="143">
        <f t="array" ref="D48">SUM(IF('2014-2017 Projects'!$A$6:$A$277="Chief Operations Officer",'2014-2017 Projects'!$AG$6:$AG$277,0))</f>
        <v>0</v>
      </c>
      <c r="E48" s="143">
        <f t="array" ref="E48">SUM(IF('2014-2017 Projects'!$A$6:$A$277="Chief Operations Officer",'2014-2017 Projects'!$AH$6:$AH$277,0))</f>
        <v>0</v>
      </c>
      <c r="F48" s="143">
        <f t="array" ref="F48">SUM(IF('2014-2017 Projects'!$A$6:$A$277="Chief Operations Officer",'2014-2017 Projects'!$AI$6:$AI$277,0))</f>
        <v>0</v>
      </c>
      <c r="G48" s="143">
        <f t="array" ref="G48">SUM(IF('2014-2017 Projects'!$A$6:$A$277="Chief Operations Officer",'2014-2017 Projects'!$AG$6:$AG$277,0))</f>
        <v>0</v>
      </c>
      <c r="H48" s="143">
        <f t="array" ref="H48">SUM(IF('2014-2017 Projects'!$C$6:$C$252="6.9 - Sewerage Admin",'2014-2017 Projects'!$AK$6:$AK$252,0))</f>
        <v>216507892</v>
      </c>
      <c r="I48" s="143">
        <f t="array" ref="I48">SUM(IF('2014-2017 Projects'!$C$6:$C$252="6.9 - Sewerage Admin",'2014-2017 Projects'!$AM$6:$AM$252,0))</f>
        <v>220656160</v>
      </c>
      <c r="J48" s="143">
        <f t="array" ref="J48">SUM(IF('2014-2017 Projects'!$C$6:$C$252="6.9 - Sewerage Admin",'2014-2017 Projects'!$AN$6:$AN$252,0))</f>
        <v>-199830.90999999997</v>
      </c>
      <c r="K48" s="143">
        <f t="array" ref="K48">SUM(IF('2014-2017 Projects'!$C$6:$C$252="6.9 - Sewerage Admin",'2014-2017 Projects'!$AP$6:$AP$252,0))</f>
        <v>-199830.90999999997</v>
      </c>
      <c r="L48" s="143">
        <f t="array" ref="L48">SUM(IF('2014-2017 Projects'!$C$6:$C$252="6.9 - Sewerage Admin",'2014-2017 Projects'!$AQ$6:$AQ$252,0))</f>
        <v>10076331.119999999</v>
      </c>
      <c r="M48" s="143">
        <f t="array" ref="M48">SUM(IF('2014-2017 Projects'!$C$6:$C$252="6.9 - Sewerage Admin",'2014-2017 Projects'!$AS$6:$AS$252,0))</f>
        <v>11392071.699999999</v>
      </c>
      <c r="N48" s="143">
        <f t="array" ref="N48">SUM(IF('2014-2017 Projects'!$C$6:$C$252="6.9 - Sewerage Admin",'2014-2017 Projects'!$AT$6:$AT$252,0))</f>
        <v>7571347.3499999996</v>
      </c>
      <c r="O48" s="143">
        <f t="array" ref="O48">SUM(IF('2014-2017 Projects'!$C$6:$C$252="6.9 - Sewerage Admin",'2014-2017 Projects'!$AV$6:$AV$252,0))</f>
        <v>9263739.9100000001</v>
      </c>
      <c r="P48" s="143">
        <f t="array" ref="P48">SUM(IF('2014-2017 Projects'!$C$6:$C$252="6.9 - Sewerage Admin",'2014-2017 Projects'!$AW$6:$AW$252,0))</f>
        <v>7829714.1199999992</v>
      </c>
      <c r="Q48" s="143">
        <f t="array" ref="Q48">SUM(IF('2014-2017 Projects'!$C$6:$C$252="6.9 - Sewerage Admin",'2014-2017 Projects'!$AY$6:$AY$252,0))</f>
        <v>8877686.1400000006</v>
      </c>
      <c r="R48" s="143"/>
      <c r="S48" s="143"/>
      <c r="T48" s="143"/>
      <c r="U48" s="143"/>
      <c r="V48" s="143"/>
      <c r="W48" s="143"/>
      <c r="X48" s="143"/>
      <c r="Y48" s="143"/>
      <c r="Z48" s="143"/>
      <c r="AA48" s="143"/>
      <c r="AB48" s="143"/>
      <c r="AC48" s="143"/>
      <c r="AD48" s="143"/>
      <c r="AE48" s="143"/>
      <c r="AF48" s="143"/>
      <c r="AG48" s="143"/>
      <c r="AH48" s="143">
        <f t="array" ref="AH48">SUM(IF('2014-2017 Projects'!$C$6:$C$252="6.9 - Sewerage Admin",'2014-2017 Projects'!$BY$6:$BY$252,0))</f>
        <v>25277561.679999996</v>
      </c>
      <c r="AI48" s="143">
        <f t="array" ref="AI48">SUM(IF('2014-2017 Projects'!$C$6:$C$252="6.9 - Sewerage Admin",'2014-2017 Projects'!$BZ$6:$BZ$252,0))</f>
        <v>29333666.839999996</v>
      </c>
      <c r="AJ48" s="143">
        <f t="array" ref="AJ48">SUM(IF('2014-2017 Projects'!$C$6:$C$252="6.9 - Sewerage Admin",'2014-2017 Projects'!$BX$6:$BX$252,0))</f>
        <v>1822399.27</v>
      </c>
      <c r="AK48" s="143">
        <f t="shared" si="10"/>
        <v>195378598.31999999</v>
      </c>
      <c r="AL48" s="143">
        <f t="shared" si="11"/>
        <v>191322493.16</v>
      </c>
      <c r="AM48" s="390">
        <f>AH48/H48</f>
        <v>0.11675122530868295</v>
      </c>
      <c r="AN48" s="390">
        <f>AI48/H48</f>
        <v>0.1354854392097633</v>
      </c>
      <c r="AO48" s="156"/>
      <c r="AP48" s="156"/>
      <c r="AQ48" s="156"/>
      <c r="AR48" s="156"/>
      <c r="AS48" s="156"/>
      <c r="AT48" s="307"/>
      <c r="AU48" s="323"/>
      <c r="AV48" s="323"/>
      <c r="AW48" s="323"/>
      <c r="AX48" s="154"/>
    </row>
    <row r="49" spans="1:50" s="132" customFormat="1" x14ac:dyDescent="0.2">
      <c r="A49" s="169" t="s">
        <v>633</v>
      </c>
      <c r="B49" s="143">
        <f t="array" ref="B49">SUM(IF('2014-2017 Projects'!$A$6:$A$298="Municipal Manager's Office",'2014-2017 Projects'!$AG$6:$AG$298,0))</f>
        <v>12750000</v>
      </c>
      <c r="C49" s="143">
        <f t="array" ref="C49">SUM(IF('2014-2017 Projects'!$A$6:$A$298="Municipal Manager's Office",'2014-2017 Projects'!$AG$6:$AG$298,0))</f>
        <v>12750000</v>
      </c>
      <c r="D49" s="143">
        <f t="array" ref="D49">SUM(IF('2014-2017 Projects'!$A$6:$A$298="Municipal Manager's Office",'2014-2017 Projects'!$AG$6:$AG$298,0))</f>
        <v>12750000</v>
      </c>
      <c r="E49" s="143">
        <f t="array" ref="E49">SUM(IF('2014-2017 Projects'!$A$6:$A$298="Municipal Manager's Office",'2014-2017 Projects'!$AH$6:$AH$298,0))</f>
        <v>-10000000</v>
      </c>
      <c r="F49" s="143">
        <f t="array" ref="F49">SUM(IF('2014-2017 Projects'!$A$6:$A$298="Municipal Manager's Office",'2014-2017 Projects'!$AI$6:$AI$298,0))</f>
        <v>2750000</v>
      </c>
      <c r="G49" s="143"/>
      <c r="H49" s="143">
        <f t="array" ref="H49">SUM(IF('2014-2017 Projects'!$C$6:$C$252="6.20 - Water Administration",'2014-2017 Projects'!$AK$6:$AK$252,0))</f>
        <v>97688726</v>
      </c>
      <c r="I49" s="143">
        <f t="array" ref="I49">SUM(IF('2014-2017 Projects'!$C$6:$C$252="6.20 - Water Administration",'2014-2017 Projects'!$AM$6:$AM$252,0))</f>
        <v>95114971</v>
      </c>
      <c r="J49" s="143">
        <f t="array" ref="J49">SUM(IF('2014-2017 Projects'!$C$6:$C$252="6.20 - Water Administration",'2014-2017 Projects'!$AN$6:$AN$252,0))</f>
        <v>0</v>
      </c>
      <c r="K49" s="143">
        <f t="array" ref="K49">SUM(IF('2014-2017 Projects'!$C$6:$C$252="6.20 - Water Administration",'2014-2017 Projects'!$AP$6:$AP$252,0))</f>
        <v>0</v>
      </c>
      <c r="L49" s="143">
        <f t="array" ref="L49">SUM(IF('2014-2017 Projects'!$C$6:$C$252="6.20 - Water Administration",'2014-2017 Projects'!$AQ$6:$AQ$252,0))</f>
        <v>1847692.21</v>
      </c>
      <c r="M49" s="143">
        <f t="array" ref="M49">SUM(IF('2014-2017 Projects'!$C$6:$C$252="6.20 - Water Administration",'2014-2017 Projects'!$AS$6:$AS$252,0))</f>
        <v>2052472.4200000002</v>
      </c>
      <c r="N49" s="143">
        <f t="array" ref="N49">SUM(IF('2014-2017 Projects'!$C$6:$C$252="6.20 - Water Administration",'2014-2017 Projects'!$AT$6:$AT$252,0))</f>
        <v>2223512.66</v>
      </c>
      <c r="O49" s="143">
        <f t="array" ref="O49">SUM(IF('2014-2017 Projects'!$C$6:$C$252="6.20 - Water Administration",'2014-2017 Projects'!$AV$6:$AV$252,0))</f>
        <v>2348646.58</v>
      </c>
      <c r="P49" s="143">
        <f t="array" ref="P49">SUM(IF('2014-2017 Projects'!$C$6:$C$252="6.20 - Water Administration",'2014-2017 Projects'!$AW$6:$AW$252,0))</f>
        <v>2998073.1799999997</v>
      </c>
      <c r="Q49" s="143">
        <f t="array" ref="Q49">SUM(IF('2014-2017 Projects'!$C$6:$C$252="6.20 - Water Administration",'2014-2017 Projects'!$AY$6:$AY$252,0))</f>
        <v>3218272.8499999996</v>
      </c>
      <c r="R49" s="143"/>
      <c r="S49" s="143"/>
      <c r="T49" s="143"/>
      <c r="U49" s="143"/>
      <c r="V49" s="143"/>
      <c r="W49" s="143"/>
      <c r="X49" s="143"/>
      <c r="Y49" s="143"/>
      <c r="Z49" s="143"/>
      <c r="AA49" s="143"/>
      <c r="AB49" s="143"/>
      <c r="AC49" s="143"/>
      <c r="AD49" s="143"/>
      <c r="AE49" s="143"/>
      <c r="AF49" s="143"/>
      <c r="AG49" s="143"/>
      <c r="AH49" s="143">
        <f t="array" ref="AH49">SUM(IF('2014-2017 Projects'!$C$6:$C$252="6.20 - Water Administration",'2014-2017 Projects'!$BY$6:$BY$252,0))</f>
        <v>7069278.0499999998</v>
      </c>
      <c r="AI49" s="143">
        <f t="array" ref="AI49">SUM(IF('2014-2017 Projects'!$C$6:$C$252="6.20 - Water Administration",'2014-2017 Projects'!$BZ$6:$BZ$252,0))</f>
        <v>7619391.8500000006</v>
      </c>
      <c r="AJ49" s="143">
        <f t="array" ref="AJ49">SUM(IF('2014-2017 Projects'!$C$6:$C$252="6.20 - Water Administration",'2014-2017 Projects'!$BX$6:$BX$252,0))</f>
        <v>11705483.790000001</v>
      </c>
      <c r="AK49" s="143">
        <f t="shared" si="10"/>
        <v>88045692.950000003</v>
      </c>
      <c r="AL49" s="143">
        <f t="shared" si="11"/>
        <v>87495579.150000006</v>
      </c>
      <c r="AM49" s="390">
        <f t="shared" si="12"/>
        <v>7.2365341830745139E-2</v>
      </c>
      <c r="AN49" s="390">
        <f t="shared" si="13"/>
        <v>7.7996634432513742E-2</v>
      </c>
      <c r="AO49" s="156"/>
      <c r="AP49" s="156"/>
      <c r="AQ49" s="156"/>
      <c r="AR49" s="156"/>
      <c r="AS49" s="156"/>
      <c r="AT49" s="307"/>
      <c r="AU49" s="323"/>
      <c r="AV49" s="323"/>
      <c r="AW49" s="323"/>
      <c r="AX49" s="154"/>
    </row>
    <row r="50" spans="1:50" s="132" customFormat="1" x14ac:dyDescent="0.2">
      <c r="A50" s="169" t="s">
        <v>231</v>
      </c>
      <c r="B50" s="143">
        <f t="array" ref="B50">SUM(IF('2014-2017 Projects'!$A$6:$A$277="Chief Operations Officer",'2014-2017 Projects'!$AG$6:$AG$277,0))</f>
        <v>0</v>
      </c>
      <c r="C50" s="143">
        <f t="array" ref="C50">SUM(IF('2014-2017 Projects'!$A$6:$A$277="Chief Operations Officer",'2014-2017 Projects'!$AG$6:$AG$277,0))</f>
        <v>0</v>
      </c>
      <c r="D50" s="143">
        <f t="array" ref="D50">SUM(IF('2014-2017 Projects'!$A$6:$A$277="Chief Operations Officer",'2014-2017 Projects'!$AG$6:$AG$277,0))</f>
        <v>0</v>
      </c>
      <c r="E50" s="143">
        <f t="array" ref="E50">SUM(IF('2014-2017 Projects'!$A$6:$A$277="Chief Operations Officer",'2014-2017 Projects'!$AH$6:$AH$277,0))</f>
        <v>0</v>
      </c>
      <c r="F50" s="143">
        <f t="array" ref="F50">SUM(IF('2014-2017 Projects'!$A$6:$A$277="Chief Operations Officer",'2014-2017 Projects'!$AI$6:$AI$277,0))</f>
        <v>0</v>
      </c>
      <c r="G50" s="143">
        <f t="array" ref="G50">SUM(IF('2014-2017 Projects'!$A$6:$A$277="Chief Operations Officer",'2014-2017 Projects'!$AG$6:$AG$277,0))</f>
        <v>0</v>
      </c>
      <c r="H50" s="143">
        <f t="array" ref="H50">SUM(IF('2014-2017 Projects'!$C$6:$C$252="6.25 - Water Treatment Works",'2014-2017 Projects'!$AK$6:$AK$252,0))</f>
        <v>0</v>
      </c>
      <c r="I50" s="143">
        <f t="array" ref="I50">SUM(IF('2014-2017 Projects'!$C$6:$C$252="6.25 - Water Treatment Works",'2014-2017 Projects'!$AM$6:$AM$252,0))</f>
        <v>0</v>
      </c>
      <c r="J50" s="143">
        <f t="array" ref="J50">SUM(IF('2014-2017 Projects'!$C$6:$C$252="6.25 - Water Treatment Works",'2014-2017 Projects'!$AN$6:$AN$252,0))</f>
        <v>0</v>
      </c>
      <c r="K50" s="143">
        <f t="array" ref="K50">SUM(IF('2014-2017 Projects'!$C$6:$C$252="6.25 - Water Treatment Works",'2014-2017 Projects'!$AP$6:$AP$252,0))</f>
        <v>0</v>
      </c>
      <c r="L50" s="143">
        <f t="array" ref="L50">SUM(IF('2014-2017 Projects'!$C$6:$C$252="6.25 - Water Treatment Works",'2014-2017 Projects'!$AQ$6:$AQ$252,0))</f>
        <v>0</v>
      </c>
      <c r="M50" s="143">
        <f t="array" ref="M50">SUM(IF('2014-2017 Projects'!$C$6:$C$252="6.25 - Water Treatment Works",'2014-2017 Projects'!$AS$6:$AS$252,0))</f>
        <v>0</v>
      </c>
      <c r="N50" s="143">
        <f t="array" ref="N50">SUM(IF('2014-2017 Projects'!$C$6:$C$252="6.25 - Water Treatment Works",'2014-2017 Projects'!$AT$6:$AT$252,0))</f>
        <v>0</v>
      </c>
      <c r="O50" s="143">
        <f t="array" ref="O50">SUM(IF('2014-2017 Projects'!$C$6:$C$252="6.25 - Water Treatment Works",'2014-2017 Projects'!$AV$6:$AV$252,0))</f>
        <v>0</v>
      </c>
      <c r="P50" s="143">
        <f t="array" ref="P50">SUM(IF('2014-2017 Projects'!$C$6:$C$252="6.25 - Water Treatment Works",'2014-2017 Projects'!$AW$6:$AW$252,0))</f>
        <v>0</v>
      </c>
      <c r="Q50" s="143">
        <f t="array" ref="Q50">SUM(IF('2014-2017 Projects'!$C$6:$C$252="6.25 - Water Treatment Works",'2014-2017 Projects'!$AY$6:$AY$252,0))</f>
        <v>0</v>
      </c>
      <c r="R50" s="143"/>
      <c r="S50" s="143"/>
      <c r="T50" s="143"/>
      <c r="U50" s="143"/>
      <c r="V50" s="143"/>
      <c r="W50" s="143"/>
      <c r="X50" s="143"/>
      <c r="Y50" s="143"/>
      <c r="Z50" s="143"/>
      <c r="AA50" s="143"/>
      <c r="AB50" s="143"/>
      <c r="AC50" s="143"/>
      <c r="AD50" s="143"/>
      <c r="AE50" s="143"/>
      <c r="AF50" s="143"/>
      <c r="AG50" s="143"/>
      <c r="AH50" s="143">
        <f t="array" ref="AH50">SUM(IF('2014-2017 Projects'!$C$6:$C$252="6.25 - Water Treatment Works",'2014-2017 Projects'!$BY$6:$BY$252,0))</f>
        <v>0</v>
      </c>
      <c r="AI50" s="143">
        <f t="array" ref="AI50">SUM(IF('2014-2017 Projects'!$C$6:$C$252="6.25 - Water Treatment Works",'2014-2017 Projects'!$BZ$6:$BZ$252,0))</f>
        <v>0</v>
      </c>
      <c r="AJ50" s="143">
        <f t="array" ref="AJ50">SUM(IF('2014-2017 Projects'!$C$6:$C$252="6.25 - Water Treatment Works",'2014-2017 Projects'!$BX$6:$BX$252,0))</f>
        <v>0</v>
      </c>
      <c r="AK50" s="143">
        <f t="shared" si="10"/>
        <v>0</v>
      </c>
      <c r="AL50" s="143">
        <f t="shared" si="11"/>
        <v>0</v>
      </c>
      <c r="AM50" s="390" t="e">
        <f t="shared" si="12"/>
        <v>#DIV/0!</v>
      </c>
      <c r="AN50" s="390" t="e">
        <f t="shared" si="13"/>
        <v>#DIV/0!</v>
      </c>
      <c r="AO50" s="156"/>
      <c r="AP50" s="156"/>
      <c r="AQ50" s="156"/>
      <c r="AR50" s="156"/>
      <c r="AS50" s="156"/>
      <c r="AT50" s="307"/>
      <c r="AU50" s="323"/>
      <c r="AV50" s="323"/>
      <c r="AW50" s="323"/>
      <c r="AX50" s="154"/>
    </row>
    <row r="51" spans="1:50" s="132" customFormat="1" x14ac:dyDescent="0.2">
      <c r="A51" s="169" t="s">
        <v>649</v>
      </c>
      <c r="B51" s="143"/>
      <c r="C51" s="143"/>
      <c r="D51" s="143"/>
      <c r="E51" s="143"/>
      <c r="F51" s="143"/>
      <c r="G51" s="143"/>
      <c r="H51" s="143">
        <f t="array" ref="H51">SUM(IF('2014-2017 Projects'!$C$6:$C$252="6.34 - Roads Administration",'2014-2017 Projects'!$AK$6:$AK$252,0))</f>
        <v>198000000</v>
      </c>
      <c r="I51" s="143">
        <f t="array" ref="I51">SUM(IF('2014-2017 Projects'!$C$6:$C$252="6.34 - Roads Administration",'2014-2017 Projects'!$AM$6:$AM$252,0))</f>
        <v>198000000</v>
      </c>
      <c r="J51" s="143">
        <f t="array" ref="J51">SUM(IF('2014-2017 Projects'!$C$6:$C$252="6.34 - Roads Administration",'2014-2017 Projects'!$AN$6:$AN$252,0))</f>
        <v>-47814.16</v>
      </c>
      <c r="K51" s="143">
        <f t="array" ref="K51">SUM(IF('2014-2017 Projects'!$C$6:$C$252="6.34 - Roads Administration",'2014-2017 Projects'!$AP$6:$AP$252,0))</f>
        <v>-47814.16</v>
      </c>
      <c r="L51" s="143">
        <f t="array" ref="L51">SUM(IF('2014-2017 Projects'!$C$6:$C$252="6.34 - Roads Administration",'2014-2017 Projects'!$AQ$6:$AQ$252,0))</f>
        <v>9974048.5600000005</v>
      </c>
      <c r="M51" s="143">
        <f t="array" ref="M51">SUM(IF('2014-2017 Projects'!$C$6:$C$252="6.34 - Roads Administration",'2014-2017 Projects'!$AS$6:$AS$252,0))</f>
        <v>11314616.130000001</v>
      </c>
      <c r="N51" s="143">
        <f t="array" ref="N51">SUM(IF('2014-2017 Projects'!$C$6:$C$252="6.34 - Roads Administration",'2014-2017 Projects'!$AT$6:$AT$252,0))</f>
        <v>19383637.41</v>
      </c>
      <c r="O51" s="143">
        <f t="array" ref="O51">SUM(IF('2014-2017 Projects'!$C$6:$C$252="6.34 - Roads Administration",'2014-2017 Projects'!$AV$6:$AV$252,0))</f>
        <v>21311489.229999997</v>
      </c>
      <c r="P51" s="143">
        <f t="array" ref="P51">SUM(IF('2014-2017 Projects'!$C$6:$C$252="6.34 - Roads Administration",'2014-2017 Projects'!$AW$6:$AW$252,0))</f>
        <v>24278224.449999999</v>
      </c>
      <c r="Q51" s="143">
        <f t="array" ref="Q51">SUM(IF('2014-2017 Projects'!$C$6:$C$252="6.34 - Roads Administration",'2014-2017 Projects'!$AY$6:$AY$252,0))</f>
        <v>27513048.860000003</v>
      </c>
      <c r="R51" s="143"/>
      <c r="S51" s="143"/>
      <c r="T51" s="143"/>
      <c r="U51" s="143"/>
      <c r="V51" s="143"/>
      <c r="W51" s="143"/>
      <c r="X51" s="143"/>
      <c r="Y51" s="143"/>
      <c r="Z51" s="143"/>
      <c r="AA51" s="143"/>
      <c r="AB51" s="143"/>
      <c r="AC51" s="143"/>
      <c r="AD51" s="143"/>
      <c r="AE51" s="143"/>
      <c r="AF51" s="143"/>
      <c r="AG51" s="143"/>
      <c r="AH51" s="143">
        <f t="array" ref="AH51">SUM(IF('2014-2017 Projects'!$C$6:$C$252="6.34 - Roads Administration",'2014-2017 Projects'!$BY$6:$BY$252,0))</f>
        <v>53588096.259999998</v>
      </c>
      <c r="AI51" s="143">
        <f t="array" ref="AI51">SUM(IF('2014-2017 Projects'!$C$6:$C$252="6.34 - Roads Administration",'2014-2017 Projects'!$BZ$6:$BZ$252,0))</f>
        <v>60091340.059999995</v>
      </c>
      <c r="AJ51" s="143">
        <f t="array" ref="AJ51">SUM(IF('2014-2017 Projects'!$C$6:$C$252="6.34 - Roads Administration",'2014-2017 Projects'!$BX$6:$BX$252,0))</f>
        <v>12115133.68</v>
      </c>
      <c r="AK51" s="143">
        <f t="shared" si="10"/>
        <v>144411903.74000001</v>
      </c>
      <c r="AL51" s="143">
        <f t="shared" si="11"/>
        <v>137908659.94</v>
      </c>
      <c r="AM51" s="390">
        <f t="shared" ref="AM51" si="26">AH51/H51</f>
        <v>0.27064695080808082</v>
      </c>
      <c r="AN51" s="390">
        <f t="shared" ref="AN51" si="27">AI51/H51</f>
        <v>0.30349161646464645</v>
      </c>
      <c r="AO51" s="156"/>
      <c r="AP51" s="156"/>
      <c r="AQ51" s="156"/>
      <c r="AR51" s="156"/>
      <c r="AS51" s="156"/>
      <c r="AT51" s="307"/>
      <c r="AU51" s="323"/>
      <c r="AV51" s="323"/>
      <c r="AW51" s="323"/>
      <c r="AX51" s="154"/>
    </row>
    <row r="52" spans="1:50" s="132" customFormat="1" x14ac:dyDescent="0.2">
      <c r="A52" s="169" t="s">
        <v>232</v>
      </c>
      <c r="B52" s="143">
        <f t="array" ref="B52">SUM(IF('2014-2017 Projects'!$A$6:$A$277="Financial Services",'2014-2017 Projects'!$AG$6:$AG$277,0))</f>
        <v>0</v>
      </c>
      <c r="C52" s="143">
        <f t="array" ref="C52">SUM(IF('2014-2017 Projects'!$A$6:$A$277="Financial Services",'2014-2017 Projects'!$AG$6:$AG$277,0))</f>
        <v>0</v>
      </c>
      <c r="D52" s="143">
        <f t="array" ref="D52">SUM(IF('2014-2017 Projects'!$A$6:$A$277="Financial Services",'2014-2017 Projects'!$AG$6:$AG$277,0))</f>
        <v>0</v>
      </c>
      <c r="E52" s="143">
        <f t="array" ref="E52">SUM(IF('2014-2017 Projects'!$A$6:$A$277="Financial Services",'2014-2017 Projects'!$AH$6:$AH$277,0))</f>
        <v>0</v>
      </c>
      <c r="F52" s="143">
        <f t="array" ref="F52">SUM(IF('2014-2017 Projects'!$A$6:$A$277="Financial Services",'2014-2017 Projects'!$AI$6:$AI$277,0))</f>
        <v>0</v>
      </c>
      <c r="G52" s="143"/>
      <c r="H52" s="143">
        <f t="array" ref="H52">SUM(IF('2014-2017 Projects'!$C$6:$C$252="6.36 - Roads and Stormwater Drainage",'2014-2017 Projects'!$AK$6:$AK$252,0))</f>
        <v>0</v>
      </c>
      <c r="I52" s="143">
        <f t="array" ref="I52">SUM(IF('2014-2017 Projects'!$C$6:$C$252="6.36 - Roads and Stormwater Drainage",'2014-2017 Projects'!$AM$6:$AM$252,0))</f>
        <v>0</v>
      </c>
      <c r="J52" s="143">
        <f t="array" ref="J52">SUM(IF('2014-2017 Projects'!$C$6:$C$252="6.36 - Roads and Stormwater Drainage",'2014-2017 Projects'!$AN$6:$AN$252,0))</f>
        <v>0</v>
      </c>
      <c r="K52" s="143">
        <f t="array" ref="K52">SUM(IF('2014-2017 Projects'!$C$6:$C$252="6.36 - Roads and Stormwater Drainage",'2014-2017 Projects'!$AP$6:$AP$252,0))</f>
        <v>0</v>
      </c>
      <c r="L52" s="143">
        <f t="array" ref="L52">SUM(IF('2014-2017 Projects'!$C$6:$C$252="6.36 - Roads and Stormwater Drainage",'2014-2017 Projects'!$AQ$6:$AQ$252,0))</f>
        <v>0</v>
      </c>
      <c r="M52" s="143">
        <f t="array" ref="M52">SUM(IF('2014-2017 Projects'!$C$6:$C$252="6.36 - Roads and Stormwater Drainage",'2014-2017 Projects'!$AS$6:$AS$252,0))</f>
        <v>0</v>
      </c>
      <c r="N52" s="143">
        <f t="array" ref="N52">SUM(IF('2014-2017 Projects'!$C$6:$C$252="6.36 - Roads and Stormwater Drainage",'2014-2017 Projects'!$AT$6:$AT$252,0))</f>
        <v>0</v>
      </c>
      <c r="O52" s="143">
        <f t="array" ref="O52">SUM(IF('2014-2017 Projects'!$C$6:$C$252="6.36 - Roads and Stormwater Drainage",'2014-2017 Projects'!$AV$6:$AV$252,0))</f>
        <v>0</v>
      </c>
      <c r="P52" s="143">
        <f t="array" ref="P52">SUM(IF('2014-2017 Projects'!$C$6:$C$252="6.36 - Roads and Stormwater Drainage",'2014-2017 Projects'!$AW$6:$AW$252,0))</f>
        <v>0</v>
      </c>
      <c r="Q52" s="143">
        <f t="array" ref="Q52">SUM(IF('2014-2017 Projects'!$C$6:$C$252="6.36 - Roads and Stormwater Drainage",'2014-2017 Projects'!$AY$6:$AY$252,0))</f>
        <v>0</v>
      </c>
      <c r="R52" s="143"/>
      <c r="S52" s="143"/>
      <c r="T52" s="143"/>
      <c r="U52" s="143"/>
      <c r="V52" s="143"/>
      <c r="W52" s="143"/>
      <c r="X52" s="143"/>
      <c r="Y52" s="143"/>
      <c r="Z52" s="143"/>
      <c r="AA52" s="143"/>
      <c r="AB52" s="143"/>
      <c r="AC52" s="143"/>
      <c r="AD52" s="143"/>
      <c r="AE52" s="143"/>
      <c r="AF52" s="143"/>
      <c r="AG52" s="143"/>
      <c r="AH52" s="143">
        <f t="array" ref="AH52">SUM(IF('2014-2017 Projects'!$C$6:$C$252="6.36 - Roads and Stormwater Drainage",'2014-2017 Projects'!$BY$6:$BY$252,0))</f>
        <v>0</v>
      </c>
      <c r="AI52" s="143">
        <f t="array" ref="AI52">SUM(IF('2014-2017 Projects'!$C$6:$C$252="6.36 - Roads and Stormwater Drainage",'2014-2017 Projects'!$BZ$6:$BZ$252,0))</f>
        <v>0</v>
      </c>
      <c r="AJ52" s="143">
        <f t="array" ref="AJ52">SUM(IF('2014-2017 Projects'!$C$6:$C$252="6.36 - Roads and Stormwater Drainage",'2014-2017 Projects'!$BX$6:$BX$252,0))</f>
        <v>0</v>
      </c>
      <c r="AK52" s="143">
        <f t="shared" si="10"/>
        <v>0</v>
      </c>
      <c r="AL52" s="143">
        <f t="shared" si="11"/>
        <v>0</v>
      </c>
      <c r="AM52" s="390" t="e">
        <f t="shared" si="12"/>
        <v>#DIV/0!</v>
      </c>
      <c r="AN52" s="390" t="e">
        <f t="shared" si="13"/>
        <v>#DIV/0!</v>
      </c>
      <c r="AO52" s="156"/>
      <c r="AP52" s="156"/>
      <c r="AQ52" s="156"/>
      <c r="AR52" s="156"/>
      <c r="AS52" s="156"/>
      <c r="AT52" s="307"/>
      <c r="AU52" s="323"/>
      <c r="AV52" s="323"/>
      <c r="AW52" s="323"/>
      <c r="AX52" s="154"/>
    </row>
    <row r="53" spans="1:50" s="132" customFormat="1" x14ac:dyDescent="0.2">
      <c r="A53" s="169" t="s">
        <v>233</v>
      </c>
      <c r="B53" s="143">
        <f t="array" ref="B53">SUM(IF('2014-2017 Projects'!$A$6:$A$277="Corporate Services",'2014-2017 Projects'!$AG$6:$AG$277,0))</f>
        <v>6600000</v>
      </c>
      <c r="C53" s="143">
        <f t="array" ref="C53">SUM(IF('2014-2017 Projects'!$A$6:$A$277="Corporate Services",'2014-2017 Projects'!$AG$6:$AG$277,0))</f>
        <v>6600000</v>
      </c>
      <c r="D53" s="143">
        <f t="array" ref="D53">SUM(IF('2014-2017 Projects'!$A$6:$A$277="Corporate Services",'2014-2017 Projects'!$AG$6:$AG$277,0))</f>
        <v>6600000</v>
      </c>
      <c r="E53" s="143">
        <f t="array" ref="E53">SUM(IF('2014-2017 Projects'!$A$6:$A$277="Corporate Services",'2014-2017 Projects'!$AH$6:$AH$277,0))</f>
        <v>0</v>
      </c>
      <c r="F53" s="143">
        <f t="array" ref="F53">SUM(IF('2014-2017 Projects'!$A$6:$A$277="Corporate Services",'2014-2017 Projects'!$AI$6:$AI$277,0))</f>
        <v>6600000</v>
      </c>
      <c r="G53" s="143"/>
      <c r="H53" s="143">
        <f t="array" ref="H53">SUM(IF('2014-2017 Projects'!$C$6:$C$252="6.43 - Fleet Management - Braelyn",'2014-2017 Projects'!$AK$6:$AK$252,0))</f>
        <v>18300000</v>
      </c>
      <c r="I53" s="143">
        <f t="array" ref="I53">SUM(IF('2014-2017 Projects'!$C$6:$C$252="6.43 - Fleet Management - Braelyn",'2014-2017 Projects'!$AM$6:$AM$252,0))</f>
        <v>25297668</v>
      </c>
      <c r="J53" s="143">
        <f t="array" ref="J53">SUM(IF('2014-2017 Projects'!$C$6:$C$252="6.43 - Fleet Management - Braelyn",'2014-2017 Projects'!$AN$6:$AN$252,0))</f>
        <v>0</v>
      </c>
      <c r="K53" s="143">
        <f t="array" ref="K53">SUM(IF('2014-2017 Projects'!$C$6:$C$252="6.43 - Fleet Management - Braelyn",'2014-2017 Projects'!$AP$6:$AP$252,0))</f>
        <v>0</v>
      </c>
      <c r="L53" s="143">
        <f t="array" ref="L53">SUM(IF('2014-2017 Projects'!$C$6:$C$252="6.43 - Fleet Management - Braelyn",'2014-2017 Projects'!$AQ$6:$AQ$252,0))</f>
        <v>1888532.64</v>
      </c>
      <c r="M53" s="143">
        <f t="array" ref="M53">SUM(IF('2014-2017 Projects'!$C$6:$C$252="6.43 - Fleet Management - Braelyn",'2014-2017 Projects'!$AS$6:$AS$252,0))</f>
        <v>1888532.64</v>
      </c>
      <c r="N53" s="143">
        <f t="array" ref="N53">SUM(IF('2014-2017 Projects'!$C$6:$C$252="6.43 - Fleet Management - Braelyn",'2014-2017 Projects'!$AT$6:$AT$252,0))</f>
        <v>10484165.529999999</v>
      </c>
      <c r="O53" s="143">
        <f t="array" ref="O53">SUM(IF('2014-2017 Projects'!$C$6:$C$252="6.43 - Fleet Management - Braelyn",'2014-2017 Projects'!$AV$6:$AV$252,0))</f>
        <v>10484165.529999999</v>
      </c>
      <c r="P53" s="143">
        <f t="array" ref="P53">SUM(IF('2014-2017 Projects'!$C$6:$C$252="6.43 - Fleet Management - Braelyn",'2014-2017 Projects'!$AW$6:$AW$252,0))</f>
        <v>4549898.9800000004</v>
      </c>
      <c r="Q53" s="143">
        <f t="array" ref="Q53">SUM(IF('2014-2017 Projects'!$C$6:$C$252="6.43 - Fleet Management - Braelyn",'2014-2017 Projects'!$AY$6:$AY$252,0))</f>
        <v>4549898.9800000004</v>
      </c>
      <c r="R53" s="143"/>
      <c r="S53" s="143"/>
      <c r="T53" s="143"/>
      <c r="U53" s="143"/>
      <c r="V53" s="143"/>
      <c r="W53" s="143"/>
      <c r="X53" s="143"/>
      <c r="Y53" s="143"/>
      <c r="Z53" s="143"/>
      <c r="AA53" s="143"/>
      <c r="AB53" s="143"/>
      <c r="AC53" s="143"/>
      <c r="AD53" s="143"/>
      <c r="AE53" s="143"/>
      <c r="AF53" s="143"/>
      <c r="AG53" s="143"/>
      <c r="AH53" s="143">
        <f t="array" ref="AH53">SUM(IF('2014-2017 Projects'!$C$6:$C$252="6.43 - Fleet Management - Braelyn",'2014-2017 Projects'!$BY$6:$BY$252,0))</f>
        <v>16922597.149999999</v>
      </c>
      <c r="AI53" s="143">
        <f t="array" ref="AI53">SUM(IF('2014-2017 Projects'!$C$6:$C$252="6.43 - Fleet Management - Braelyn",'2014-2017 Projects'!$BZ$6:$BZ$252,0))</f>
        <v>16922597.149999999</v>
      </c>
      <c r="AJ53" s="143">
        <f t="array" ref="AJ53">SUM(IF('2014-2017 Projects'!$C$6:$C$252="6.43 - Fleet Management - Braelyn",'2014-2017 Projects'!$BX$6:$BX$252,0))</f>
        <v>0</v>
      </c>
      <c r="AK53" s="143">
        <f t="shared" si="10"/>
        <v>8375070.8500000015</v>
      </c>
      <c r="AL53" s="143">
        <f t="shared" si="11"/>
        <v>8375070.8500000015</v>
      </c>
      <c r="AM53" s="390">
        <f t="shared" si="12"/>
        <v>0.92473208469945345</v>
      </c>
      <c r="AN53" s="390">
        <f t="shared" si="13"/>
        <v>0.92473208469945345</v>
      </c>
      <c r="AO53" s="156"/>
      <c r="AP53" s="156"/>
      <c r="AQ53" s="156"/>
      <c r="AR53" s="156"/>
      <c r="AS53" s="156"/>
      <c r="AT53" s="307"/>
      <c r="AU53" s="323"/>
      <c r="AV53" s="323"/>
      <c r="AW53" s="323"/>
      <c r="AX53" s="154"/>
    </row>
    <row r="54" spans="1:50" s="132" customFormat="1" x14ac:dyDescent="0.2">
      <c r="A54" s="169" t="s">
        <v>234</v>
      </c>
      <c r="B54" s="143">
        <f t="array" ref="B54">SUM(IF('2014-2017 Projects'!$A$6:$A$298="Municipal Manager's Office",'2014-2017 Projects'!$AG$6:$AG$298,0))</f>
        <v>12750000</v>
      </c>
      <c r="C54" s="143">
        <f t="array" ref="C54">SUM(IF('2014-2017 Projects'!$A$6:$A$298="Municipal Manager's Office",'2014-2017 Projects'!$AG$6:$AG$298,0))</f>
        <v>12750000</v>
      </c>
      <c r="D54" s="143">
        <f t="array" ref="D54">SUM(IF('2014-2017 Projects'!$A$6:$A$298="Municipal Manager's Office",'2014-2017 Projects'!$AG$6:$AG$298,0))</f>
        <v>12750000</v>
      </c>
      <c r="E54" s="143">
        <f t="array" ref="E54">SUM(IF('2014-2017 Projects'!$A$6:$A$298="Municipal Manager's Office",'2014-2017 Projects'!$AH$6:$AH$298,0))</f>
        <v>-10000000</v>
      </c>
      <c r="F54" s="143">
        <f t="array" ref="F54">SUM(IF('2014-2017 Projects'!$A$6:$A$298="Municipal Manager's Office",'2014-2017 Projects'!$AI$6:$AI$298,0))</f>
        <v>2750000</v>
      </c>
      <c r="G54" s="143"/>
      <c r="H54" s="143">
        <f t="array" ref="H54">SUM(IF('2014-2017 Projects'!$C$6:$C$252="6.46 - Electricity Planning &amp; Design",'2014-2017 Projects'!$AK$6:$AK$252,0))</f>
        <v>134699000</v>
      </c>
      <c r="I54" s="143">
        <f t="array" ref="I54">SUM(IF('2014-2017 Projects'!$C$6:$C$252="6.46 - Electricity Planning &amp; Design",'2014-2017 Projects'!$AM$6:$AM$252,0))</f>
        <v>134699000</v>
      </c>
      <c r="J54" s="143">
        <f t="array" ref="J54">SUM(IF('2014-2017 Projects'!$C$6:$C$252="6.46 - Electricity Planning &amp; Design",'2014-2017 Projects'!$AN$6:$AN$252,0))</f>
        <v>34346</v>
      </c>
      <c r="K54" s="143">
        <f t="array" ref="K54">SUM(IF('2014-2017 Projects'!$C$6:$C$252="6.46 - Electricity Planning &amp; Design",'2014-2017 Projects'!$AP$6:$AP$252,0))</f>
        <v>34346</v>
      </c>
      <c r="L54" s="143">
        <f t="array" ref="L54">SUM(IF('2014-2017 Projects'!$C$6:$C$252="6.46 - Electricity Planning &amp; Design",'2014-2017 Projects'!$AQ$6:$AQ$252,0))</f>
        <v>966172.74</v>
      </c>
      <c r="M54" s="143">
        <f t="array" ref="M54">SUM(IF('2014-2017 Projects'!$C$6:$C$252="6.46 - Electricity Planning &amp; Design",'2014-2017 Projects'!$AS$6:$AS$252,0))</f>
        <v>984607.28</v>
      </c>
      <c r="N54" s="143">
        <f t="array" ref="N54">SUM(IF('2014-2017 Projects'!$C$6:$C$252="6.46 - Electricity Planning &amp; Design",'2014-2017 Projects'!$AT$6:$AT$252,0))</f>
        <v>8548369.4100000001</v>
      </c>
      <c r="O54" s="143">
        <f t="array" ref="O54">SUM(IF('2014-2017 Projects'!$C$6:$C$252="6.46 - Electricity Planning &amp; Design",'2014-2017 Projects'!$AV$6:$AV$252,0))</f>
        <v>9024179.8100000005</v>
      </c>
      <c r="P54" s="143">
        <f t="array" ref="P54">SUM(IF('2014-2017 Projects'!$C$6:$C$252="6.46 - Electricity Planning &amp; Design",'2014-2017 Projects'!$AW$6:$AW$252,0))</f>
        <v>19438470.710000001</v>
      </c>
      <c r="Q54" s="143">
        <f t="array" ref="Q54">SUM(IF('2014-2017 Projects'!$C$6:$C$252="6.46 - Electricity Planning &amp; Design",'2014-2017 Projects'!$AY$6:$AY$252,0))</f>
        <v>20377347.169999998</v>
      </c>
      <c r="R54" s="143"/>
      <c r="S54" s="143"/>
      <c r="T54" s="143"/>
      <c r="U54" s="143"/>
      <c r="V54" s="143"/>
      <c r="W54" s="143"/>
      <c r="X54" s="143"/>
      <c r="Y54" s="143"/>
      <c r="Z54" s="143"/>
      <c r="AA54" s="143"/>
      <c r="AB54" s="143"/>
      <c r="AC54" s="143"/>
      <c r="AD54" s="143"/>
      <c r="AE54" s="143"/>
      <c r="AF54" s="143"/>
      <c r="AG54" s="143"/>
      <c r="AH54" s="143">
        <f t="array" ref="AH54">SUM(IF('2014-2017 Projects'!$C$6:$C$252="6.46 - Electricity Planning &amp; Design",'2014-2017 Projects'!$BY$6:$BY$252,0))</f>
        <v>28987358.860000003</v>
      </c>
      <c r="AI54" s="143">
        <f t="array" ref="AI54">SUM(IF('2014-2017 Projects'!$C$6:$C$252="6.46 - Electricity Planning &amp; Design",'2014-2017 Projects'!$BZ$6:$BZ$252,0))</f>
        <v>30420480.259999998</v>
      </c>
      <c r="AJ54" s="143">
        <f t="array" ref="AJ54">SUM(IF('2014-2017 Projects'!$C$6:$C$252="6.46 - Electricity Planning &amp; Design",'2014-2017 Projects'!$BX$6:$BX$252,0))</f>
        <v>16898187.66</v>
      </c>
      <c r="AK54" s="143">
        <f t="shared" si="10"/>
        <v>105711641.14</v>
      </c>
      <c r="AL54" s="143">
        <f t="shared" si="11"/>
        <v>104278519.74000001</v>
      </c>
      <c r="AM54" s="390">
        <f t="shared" si="12"/>
        <v>0.21520099525608952</v>
      </c>
      <c r="AN54" s="390">
        <f t="shared" si="13"/>
        <v>0.22584043133208115</v>
      </c>
      <c r="AO54" s="156"/>
      <c r="AP54" s="156"/>
      <c r="AQ54" s="156"/>
      <c r="AR54" s="156"/>
      <c r="AS54" s="156"/>
      <c r="AT54" s="307"/>
      <c r="AU54" s="323"/>
      <c r="AV54" s="323"/>
      <c r="AW54" s="323"/>
      <c r="AX54" s="154"/>
    </row>
    <row r="55" spans="1:50" s="132" customFormat="1" x14ac:dyDescent="0.2">
      <c r="A55" s="169" t="s">
        <v>650</v>
      </c>
      <c r="B55" s="143"/>
      <c r="C55" s="143"/>
      <c r="D55" s="143"/>
      <c r="E55" s="143"/>
      <c r="F55" s="143"/>
      <c r="G55" s="143"/>
      <c r="H55" s="143">
        <f t="array" ref="H55">SUM(IF('2014-2017 Projects'!$C$6:$C$252="7.1 - Office of The Director of Planning &amp; Economic Dev.",'2014-2017 Projects'!$AK$6:$AK$252,0))</f>
        <v>500000</v>
      </c>
      <c r="I55" s="143">
        <f t="array" ref="I55">SUM(IF('2014-2017 Projects'!$C$6:$C$252="7.1 - Office of The Director of Planning &amp; Economic Dev.",'2014-2017 Projects'!$AM$6:$AM$252,0))</f>
        <v>500000</v>
      </c>
      <c r="J55" s="143">
        <f t="array" ref="J55">SUM(IF('2014-2017 Projects'!$C$6:$C$252="7.1 - Office of The Director of Planning &amp; Economic Dev.",'2014-2017 Projects'!$AN$6:$AN$252,0))</f>
        <v>0</v>
      </c>
      <c r="K55" s="143">
        <f t="array" ref="K55">SUM(IF('2014-2017 Projects'!$C$6:$C$252="7.1 - Office of The Director of Planning &amp; Economic Dev.",'2014-2017 Projects'!$AP$6:$AP$252,0))</f>
        <v>0</v>
      </c>
      <c r="L55" s="143">
        <f t="array" ref="L55">SUM(IF('2014-2017 Projects'!$C$6:$C$252="7.1 - Office of The Director of Planning &amp; Economic Dev.",'2014-2017 Projects'!$AQ$6:$AQ$252,0))</f>
        <v>0</v>
      </c>
      <c r="M55" s="143">
        <f t="array" ref="M55">SUM(IF('2014-2017 Projects'!$C$6:$C$252="7.1 - Office of The Director of Planning &amp; Economic Dev.",'2014-2017 Projects'!$AS$6:$AS$252,0))</f>
        <v>0</v>
      </c>
      <c r="N55" s="143">
        <f t="array" ref="N55">SUM(IF('2014-2017 Projects'!$C$6:$C$252="7.1 - Office of The Director of Planning &amp; Economic Dev.",'2014-2017 Projects'!$AT$6:$AT$252,0))</f>
        <v>0</v>
      </c>
      <c r="O55" s="143">
        <f t="array" ref="O55">SUM(IF('2014-2017 Projects'!$C$6:$C$252="7.1 - Office of The Director of Planning &amp; Economic Dev.",'2014-2017 Projects'!$AV$6:$AV$252,0))</f>
        <v>0</v>
      </c>
      <c r="P55" s="143">
        <f t="array" ref="P55">SUM(IF('2014-2017 Projects'!$C$6:$C$252="7.1 - Office of The Director of Planning &amp; Economic Dev.",'2014-2017 Projects'!$AW$6:$AW$252,0))</f>
        <v>5100</v>
      </c>
      <c r="Q55" s="143">
        <f t="array" ref="Q55">SUM(IF('2014-2017 Projects'!$C$6:$C$252="7.1 - Office of The Director of Planning &amp; Economic Dev.",'2014-2017 Projects'!$AY$6:$AY$252,0))</f>
        <v>5100</v>
      </c>
      <c r="R55" s="143"/>
      <c r="S55" s="143"/>
      <c r="T55" s="143"/>
      <c r="U55" s="143"/>
      <c r="V55" s="143"/>
      <c r="W55" s="143"/>
      <c r="X55" s="143"/>
      <c r="Y55" s="143"/>
      <c r="Z55" s="143"/>
      <c r="AA55" s="143"/>
      <c r="AB55" s="143"/>
      <c r="AC55" s="143"/>
      <c r="AD55" s="143"/>
      <c r="AE55" s="143"/>
      <c r="AF55" s="143"/>
      <c r="AG55" s="143"/>
      <c r="AH55" s="143">
        <f t="array" ref="AH55">SUM(IF('2014-2017 Projects'!$C$6:$C$252="7.1 - Office of The Director of Planning &amp; Economic Dev.",'2014-2017 Projects'!$BY$6:$BY$252,0))</f>
        <v>5100</v>
      </c>
      <c r="AI55" s="143">
        <f t="array" ref="AI55">SUM(IF('2014-2017 Projects'!$C$6:$C$252="7.1 - Office of The Director of Planning &amp; Economic Dev.",'2014-2017 Projects'!$BZ$6:$BZ$252,0))</f>
        <v>5100</v>
      </c>
      <c r="AJ55" s="143">
        <f t="array" ref="AJ55">SUM(IF('2014-2017 Projects'!$C$6:$C$252="7.1 - Office of The Director of Planning &amp; Economic Dev.",'2014-2017 Projects'!$BX$6:$BX$252,0))</f>
        <v>29287.69</v>
      </c>
      <c r="AK55" s="143">
        <f t="shared" si="10"/>
        <v>494900</v>
      </c>
      <c r="AL55" s="143">
        <f t="shared" si="11"/>
        <v>494900</v>
      </c>
      <c r="AM55" s="390">
        <f t="shared" ref="AM55" si="28">AH55/H55</f>
        <v>1.0200000000000001E-2</v>
      </c>
      <c r="AN55" s="390">
        <f t="shared" ref="AN55" si="29">AI55/H55</f>
        <v>1.0200000000000001E-2</v>
      </c>
      <c r="AO55" s="156"/>
      <c r="AP55" s="156"/>
      <c r="AQ55" s="156"/>
      <c r="AR55" s="156"/>
      <c r="AS55" s="156"/>
      <c r="AT55" s="307"/>
      <c r="AU55" s="323"/>
      <c r="AV55" s="323"/>
      <c r="AW55" s="323"/>
      <c r="AX55" s="154"/>
    </row>
    <row r="56" spans="1:50" s="132" customFormat="1" x14ac:dyDescent="0.2">
      <c r="A56" s="169" t="s">
        <v>762</v>
      </c>
      <c r="B56" s="143"/>
      <c r="C56" s="143"/>
      <c r="D56" s="143"/>
      <c r="E56" s="143"/>
      <c r="F56" s="143"/>
      <c r="G56" s="143"/>
      <c r="H56" s="143">
        <f t="array" ref="H56">SUM(IF('2014-2017 Projects'!$C$6:$C$252="7.11 - City Planning.",'2014-2017 Projects'!$AK$6:$AK$252,0))</f>
        <v>0</v>
      </c>
      <c r="I56" s="143">
        <f t="array" ref="I56">SUM(IF('2014-2017 Projects'!$C$6:$C$252="7.11 - City Planning",'2014-2017 Projects'!$AM$6:$AM$252,0))</f>
        <v>5395309</v>
      </c>
      <c r="J56" s="143">
        <f t="array" ref="J56">SUM(IF('2014-2017 Projects'!$C$6:$C$252="7.1 - Office of The Director of Planning &amp; Economic Dev.",'2014-2017 Projects'!$AN$6:$AN$252,0))</f>
        <v>0</v>
      </c>
      <c r="K56" s="143">
        <f t="array" ref="K56">SUM(IF('2014-2017 Projects'!$C$6:$C$252="7.1 - Office of The Director of Planning &amp; Economic Dev.",'2014-2017 Projects'!$AP$6:$AP$252,0))</f>
        <v>0</v>
      </c>
      <c r="L56" s="143">
        <f t="array" ref="L56">SUM(IF('2014-2017 Projects'!$C$6:$C$252="7.11 - City Planning",'2014-2017 Projects'!$AQ$6:$AQ$252,0))</f>
        <v>0</v>
      </c>
      <c r="M56" s="143">
        <f t="array" ref="M56">SUM(IF('2014-2017 Projects'!$C$6:$C$252="7.1 - Office of The Director of Planning &amp; Economic Dev.",'2014-2017 Projects'!$AS$6:$AS$252,0))</f>
        <v>0</v>
      </c>
      <c r="N56" s="143">
        <f t="array" ref="N56">SUM(IF('2014-2017 Projects'!$C$6:$C$252="7.11 - City Planning",'2014-2017 Projects'!$AT$6:$AT$252,0))</f>
        <v>1609065.89</v>
      </c>
      <c r="O56" s="143">
        <f t="array" ref="O56">SUM(IF('2014-2017 Projects'!$C$6:$C$252="7.11 - City Planning",'2014-2017 Projects'!$AV$6:$AV$252,0))</f>
        <v>1609065.89</v>
      </c>
      <c r="P56" s="143">
        <f t="array" ref="P56">SUM(IF('2014-2017 Projects'!$C$6:$C$252="7.11 - City Planning",'2014-2017 Projects'!$AW$6:$AW$252,0))</f>
        <v>478955.34</v>
      </c>
      <c r="Q56" s="143">
        <f t="array" ref="Q56">SUM(IF('2014-2017 Projects'!$C$6:$C$252="7.11 - City Planning",'2014-2017 Projects'!$AY$6:$AY$252,0))</f>
        <v>478955.34</v>
      </c>
      <c r="R56" s="143"/>
      <c r="S56" s="143"/>
      <c r="T56" s="143"/>
      <c r="U56" s="143"/>
      <c r="V56" s="143"/>
      <c r="W56" s="143"/>
      <c r="X56" s="143"/>
      <c r="Y56" s="143"/>
      <c r="Z56" s="143"/>
      <c r="AA56" s="143"/>
      <c r="AB56" s="143"/>
      <c r="AC56" s="143"/>
      <c r="AD56" s="143"/>
      <c r="AE56" s="143"/>
      <c r="AF56" s="143"/>
      <c r="AG56" s="143"/>
      <c r="AH56" s="143">
        <f t="array" ref="AH56">SUM(IF('2014-2017 Projects'!$C$6:$C$252="7.11 - City Planning",'2014-2017 Projects'!$BY$6:$BY$252,0))</f>
        <v>2088021.23</v>
      </c>
      <c r="AI56" s="143">
        <f t="array" ref="AI56">SUM(IF('2014-2017 Projects'!$C$6:$C$252="7.11 - City Planning",'2014-2017 Projects'!$BZ$6:$BZ$252,0))</f>
        <v>2088021.23</v>
      </c>
      <c r="AJ56" s="143">
        <f t="array" ref="AJ56">SUM(IF('2014-2017 Projects'!$C$6:$C$252="7.11 - City Planning",'2014-2017 Projects'!$BX$6:$BX$252,0))</f>
        <v>3249208.57</v>
      </c>
      <c r="AK56" s="143">
        <f t="shared" ref="AK56" si="30">I56-AH56</f>
        <v>3307287.77</v>
      </c>
      <c r="AL56" s="143">
        <f t="shared" ref="AL56" si="31">I56-AI56</f>
        <v>3307287.77</v>
      </c>
      <c r="AM56" s="390" t="e">
        <f t="shared" ref="AM56" si="32">AH56/H56</f>
        <v>#DIV/0!</v>
      </c>
      <c r="AN56" s="390" t="e">
        <f t="shared" ref="AN56" si="33">AI56/H56</f>
        <v>#DIV/0!</v>
      </c>
      <c r="AO56" s="156"/>
      <c r="AP56" s="156"/>
      <c r="AQ56" s="156"/>
      <c r="AR56" s="156"/>
      <c r="AS56" s="156"/>
      <c r="AT56" s="307"/>
      <c r="AU56" s="323"/>
      <c r="AV56" s="323"/>
      <c r="AW56" s="323"/>
      <c r="AX56" s="154"/>
    </row>
    <row r="57" spans="1:50" s="132" customFormat="1" x14ac:dyDescent="0.2">
      <c r="A57" s="169" t="s">
        <v>235</v>
      </c>
      <c r="B57" s="143">
        <f t="array" ref="B57">SUM(IF('2014-2017 Projects'!$A$6:$A$277="Financial Services",'2014-2017 Projects'!$AG$6:$AG$277,0))</f>
        <v>0</v>
      </c>
      <c r="C57" s="143">
        <f t="array" ref="C57">SUM(IF('2014-2017 Projects'!$A$6:$A$277="Financial Services",'2014-2017 Projects'!$AG$6:$AG$277,0))</f>
        <v>0</v>
      </c>
      <c r="D57" s="143">
        <f t="array" ref="D57">SUM(IF('2014-2017 Projects'!$A$6:$A$277="Financial Services",'2014-2017 Projects'!$AG$6:$AG$277,0))</f>
        <v>0</v>
      </c>
      <c r="E57" s="143">
        <f t="array" ref="E57">SUM(IF('2014-2017 Projects'!$A$6:$A$277="Financial Services",'2014-2017 Projects'!$AH$6:$AH$277,0))</f>
        <v>0</v>
      </c>
      <c r="F57" s="143">
        <f t="array" ref="F57">SUM(IF('2014-2017 Projects'!$A$6:$A$277="Financial Services",'2014-2017 Projects'!$AI$6:$AI$277,0))</f>
        <v>0</v>
      </c>
      <c r="G57" s="143"/>
      <c r="H57" s="143">
        <f t="array" ref="H57">SUM(IF('2014-2017 Projects'!$C$6:$C$252="7.12 - Architecture",'2014-2017 Projects'!$AK$6:$AK$252,0))</f>
        <v>5000000</v>
      </c>
      <c r="I57" s="143">
        <f t="array" ref="I57">SUM(IF('2014-2017 Projects'!$C$6:$C$252="7.12 - Architecture",'2014-2017 Projects'!$AM$6:$AM$252,0))</f>
        <v>5477792</v>
      </c>
      <c r="J57" s="143">
        <f t="array" ref="J57">SUM(IF('2014-2017 Projects'!$C$6:$C$252="7.12 - Architecture",'2014-2017 Projects'!$AN$6:$AN$252,0))</f>
        <v>0</v>
      </c>
      <c r="K57" s="143">
        <f t="array" ref="K57">SUM(IF('2014-2017 Projects'!$C$6:$C$252="7.12 - Architecture",'2014-2017 Projects'!$AP$6:$AP$252,0))</f>
        <v>0</v>
      </c>
      <c r="L57" s="143">
        <f t="array" ref="L57">SUM(IF('2014-2017 Projects'!$C$6:$C$252="7.12 - Architecture",'2014-2017 Projects'!$AQ$6:$AQ$252,0))</f>
        <v>0</v>
      </c>
      <c r="M57" s="143">
        <f t="array" ref="M57">SUM(IF('2014-2017 Projects'!$C$6:$C$252="7.12 - Architecture",'2014-2017 Projects'!$AS$6:$AS$252,0))</f>
        <v>0</v>
      </c>
      <c r="N57" s="143">
        <f t="array" ref="N57">SUM(IF('2014-2017 Projects'!$C$6:$C$252="7.12 - Architecture",'2014-2017 Projects'!$AT$6:$AT$252,0))</f>
        <v>0</v>
      </c>
      <c r="O57" s="143">
        <f t="array" ref="O57">SUM(IF('2014-2017 Projects'!$C$6:$C$252="7.12 - Architecture",'2014-2017 Projects'!$AV$6:$AV$252,0))</f>
        <v>0</v>
      </c>
      <c r="P57" s="143">
        <f t="array" ref="P57">SUM(IF('2014-2017 Projects'!$C$6:$C$252="7.12 - Architecture",'2014-2017 Projects'!$AW$6:$AW$252,0))</f>
        <v>0</v>
      </c>
      <c r="Q57" s="143">
        <f t="array" ref="Q57">SUM(IF('2014-2017 Projects'!$C$6:$C$252="7.12 - Architecture",'2014-2017 Projects'!$AY$6:$AY$252,0))</f>
        <v>0</v>
      </c>
      <c r="R57" s="143"/>
      <c r="S57" s="143"/>
      <c r="T57" s="143"/>
      <c r="U57" s="143"/>
      <c r="V57" s="143"/>
      <c r="W57" s="143"/>
      <c r="X57" s="143"/>
      <c r="Y57" s="143"/>
      <c r="Z57" s="143"/>
      <c r="AA57" s="143"/>
      <c r="AB57" s="143"/>
      <c r="AC57" s="143"/>
      <c r="AD57" s="143"/>
      <c r="AE57" s="143"/>
      <c r="AF57" s="143"/>
      <c r="AG57" s="143"/>
      <c r="AH57" s="143">
        <f t="array" ref="AH57">SUM(IF('2014-2017 Projects'!$C$6:$C$252="7.12 - Architecture",'2014-2017 Projects'!$BY$6:$BY$252,0))</f>
        <v>0</v>
      </c>
      <c r="AI57" s="143">
        <f t="array" ref="AI57">SUM(IF('2014-2017 Projects'!$C$6:$C$252="7.12 - Architecture",'2014-2017 Projects'!$BZ$6:$BZ$252,0))</f>
        <v>0</v>
      </c>
      <c r="AJ57" s="143">
        <f t="array" ref="AJ57">SUM(IF('2014-2017 Projects'!$C$6:$C$252="7.12 - Architecture",'2014-2017 Projects'!$BX$6:$BX$252,0))</f>
        <v>797099.25</v>
      </c>
      <c r="AK57" s="143">
        <f t="shared" si="10"/>
        <v>5477792</v>
      </c>
      <c r="AL57" s="143">
        <f t="shared" si="11"/>
        <v>5477792</v>
      </c>
      <c r="AM57" s="390">
        <f t="shared" si="12"/>
        <v>0</v>
      </c>
      <c r="AN57" s="390">
        <f t="shared" si="13"/>
        <v>0</v>
      </c>
      <c r="AO57" s="156"/>
      <c r="AP57" s="156"/>
      <c r="AQ57" s="156"/>
      <c r="AR57" s="156"/>
      <c r="AS57" s="156"/>
      <c r="AT57" s="307"/>
      <c r="AU57" s="323"/>
      <c r="AV57" s="323"/>
      <c r="AW57" s="323"/>
      <c r="AX57" s="154"/>
    </row>
    <row r="58" spans="1:50" s="132" customFormat="1" x14ac:dyDescent="0.2">
      <c r="A58" s="169" t="s">
        <v>236</v>
      </c>
      <c r="B58" s="143">
        <f t="array" ref="B58">SUM(IF('2014-2017 Projects'!$A$6:$A$277="Corporate Services",'2014-2017 Projects'!$AG$6:$AG$277,0))</f>
        <v>6600000</v>
      </c>
      <c r="C58" s="143">
        <f t="array" ref="C58">SUM(IF('2014-2017 Projects'!$A$6:$A$277="Corporate Services",'2014-2017 Projects'!$AG$6:$AG$277,0))</f>
        <v>6600000</v>
      </c>
      <c r="D58" s="143">
        <f t="array" ref="D58">SUM(IF('2014-2017 Projects'!$A$6:$A$277="Corporate Services",'2014-2017 Projects'!$AG$6:$AG$277,0))</f>
        <v>6600000</v>
      </c>
      <c r="E58" s="143">
        <f t="array" ref="E58">SUM(IF('2014-2017 Projects'!$A$6:$A$277="Corporate Services",'2014-2017 Projects'!$AH$6:$AH$277,0))</f>
        <v>0</v>
      </c>
      <c r="F58" s="143">
        <f t="array" ref="F58">SUM(IF('2014-2017 Projects'!$A$6:$A$277="Corporate Services",'2014-2017 Projects'!$AI$6:$AI$277,0))</f>
        <v>6600000</v>
      </c>
      <c r="G58" s="143"/>
      <c r="H58" s="143">
        <f t="array" ref="H58">SUM(IF('2014-2017 Projects'!$C$6:$C$252="7.13 - Land Administration",'2014-2017 Projects'!$AK$6:$AK$252,0))</f>
        <v>5500000</v>
      </c>
      <c r="I58" s="143">
        <f t="array" ref="I58">SUM(IF('2014-2017 Projects'!$C$6:$C$252="7.13 - Land Administration",'2014-2017 Projects'!$AM$6:$AM$252,0))</f>
        <v>5500000</v>
      </c>
      <c r="J58" s="143">
        <f t="array" ref="J58">SUM(IF('2014-2017 Projects'!$C$6:$C$252="7.13 - Land Administration",'2014-2017 Projects'!$AN$6:$AN$252,0))</f>
        <v>0</v>
      </c>
      <c r="K58" s="143">
        <f t="array" ref="K58">SUM(IF('2014-2017 Projects'!$C$6:$C$252="7.13 - Land Administration",'2014-2017 Projects'!$AP$6:$AP$252,0))</f>
        <v>0</v>
      </c>
      <c r="L58" s="143">
        <f t="array" ref="L58">SUM(IF('2014-2017 Projects'!$C$6:$C$252="7.13 - Land Administration",'2014-2017 Projects'!$AQ$6:$AQ$252,0))</f>
        <v>0</v>
      </c>
      <c r="M58" s="143">
        <f t="array" ref="M58">SUM(IF('2014-2017 Projects'!$C$6:$C$252="7.13 - Land Administration",'2014-2017 Projects'!$AS$6:$AS$252,0))</f>
        <v>0</v>
      </c>
      <c r="N58" s="143">
        <f t="array" ref="N58">SUM(IF('2014-2017 Projects'!$C$6:$C$252="7.13 - Land Administration",'2014-2017 Projects'!$AT$6:$AT$252,0))</f>
        <v>0</v>
      </c>
      <c r="O58" s="143">
        <f t="array" ref="O58">SUM(IF('2014-2017 Projects'!$C$6:$C$252="7.13 - Land Administration",'2014-2017 Projects'!$AV$6:$AV$252,0))</f>
        <v>0</v>
      </c>
      <c r="P58" s="143">
        <f t="array" ref="P58">SUM(IF('2014-2017 Projects'!$C$6:$C$252="7.13 - Land Administration",'2014-2017 Projects'!$AW$6:$AW$252,0))</f>
        <v>0</v>
      </c>
      <c r="Q58" s="143">
        <f t="array" ref="Q58">SUM(IF('2014-2017 Projects'!$C$6:$C$252="7.13 - Land Administration",'2014-2017 Projects'!$AY$6:$AY$252,0))</f>
        <v>0</v>
      </c>
      <c r="R58" s="143"/>
      <c r="S58" s="143"/>
      <c r="T58" s="143"/>
      <c r="U58" s="143"/>
      <c r="V58" s="143"/>
      <c r="W58" s="143"/>
      <c r="X58" s="143"/>
      <c r="Y58" s="143"/>
      <c r="Z58" s="143"/>
      <c r="AA58" s="143"/>
      <c r="AB58" s="143"/>
      <c r="AC58" s="143"/>
      <c r="AD58" s="143"/>
      <c r="AE58" s="143"/>
      <c r="AF58" s="143"/>
      <c r="AG58" s="143"/>
      <c r="AH58" s="143">
        <f t="array" ref="AH58">SUM(IF('2014-2017 Projects'!$C$6:$C$252="7.13 - Land Administration",'2014-2017 Projects'!$BY$6:$BY$252,0))</f>
        <v>0</v>
      </c>
      <c r="AI58" s="143">
        <f t="array" ref="AI58">SUM(IF('2014-2017 Projects'!$C$6:$C$252="7.13 - Land Administration",'2014-2017 Projects'!$BZ$6:$BZ$252,0))</f>
        <v>0</v>
      </c>
      <c r="AJ58" s="143">
        <f t="array" ref="AJ58">SUM(IF('2014-2017 Projects'!$C$6:$C$252="7.13 - Land Administration",'2014-2017 Projects'!$BX$6:$BX$252,0))</f>
        <v>0</v>
      </c>
      <c r="AK58" s="143">
        <f t="shared" si="10"/>
        <v>5500000</v>
      </c>
      <c r="AL58" s="143">
        <f t="shared" si="11"/>
        <v>5500000</v>
      </c>
      <c r="AM58" s="390">
        <f t="shared" si="12"/>
        <v>0</v>
      </c>
      <c r="AN58" s="390">
        <f t="shared" si="13"/>
        <v>0</v>
      </c>
      <c r="AO58" s="156"/>
      <c r="AP58" s="156"/>
      <c r="AQ58" s="156"/>
      <c r="AR58" s="156"/>
      <c r="AS58" s="156"/>
      <c r="AT58" s="307"/>
      <c r="AU58" s="323"/>
      <c r="AV58" s="323"/>
      <c r="AW58" s="323"/>
      <c r="AX58" s="154"/>
    </row>
    <row r="59" spans="1:50" s="132" customFormat="1" x14ac:dyDescent="0.2">
      <c r="A59" s="169" t="s">
        <v>651</v>
      </c>
      <c r="B59" s="143"/>
      <c r="C59" s="143"/>
      <c r="D59" s="143"/>
      <c r="E59" s="143"/>
      <c r="F59" s="143"/>
      <c r="G59" s="143"/>
      <c r="H59" s="143">
        <f t="array" ref="H59">SUM(IF('2014-2017 Projects'!$C$6:$C$252="7.16 - Building Maintenance - Coastal / Central",'2014-2017 Projects'!$AK$6:$AK$252,0))</f>
        <v>9895288</v>
      </c>
      <c r="I59" s="143">
        <f t="array" ref="I59">SUM(IF('2014-2017 Projects'!$C$6:$C$252="7.16 - Building Maintenance - Coastal / Central",'2014-2017 Projects'!$AM$6:$AM$252,0))</f>
        <v>5395288</v>
      </c>
      <c r="J59" s="143">
        <f t="array" ref="J59">SUM(IF('2014-2017 Projects'!$C$6:$C$252="7.16 - Building Maintenance - Coastal / Central",'2014-2017 Projects'!$AN$6:$AN$252,0))</f>
        <v>0</v>
      </c>
      <c r="K59" s="143">
        <f t="array" ref="K59">SUM(IF('2014-2017 Projects'!$C$6:$C$252="7.16 - Building Maintenance - Coastal / Central",'2014-2017 Projects'!$AP$6:$AP$252,0))</f>
        <v>0</v>
      </c>
      <c r="L59" s="143">
        <f t="array" ref="L59">SUM(IF('2014-2017 Projects'!$C$6:$C$252="7.16 - Building Maintenance - Coastal / Central",'2014-2017 Projects'!$AQ$6:$AQ$252,0))</f>
        <v>1146359.07</v>
      </c>
      <c r="M59" s="143">
        <f t="array" ref="M59">SUM(IF('2014-2017 Projects'!$C$6:$C$252="7.16 - Building Maintenance - Coastal / Central",'2014-2017 Projects'!$AS$6:$AS$252,0))</f>
        <v>1146359.07</v>
      </c>
      <c r="N59" s="143">
        <f t="array" ref="N59">SUM(IF('2014-2017 Projects'!$C$6:$C$252="7.16 - Building Maintenance - Coastal / Central",'2014-2017 Projects'!$AT$6:$AT$252,0))</f>
        <v>-1146359.07</v>
      </c>
      <c r="O59" s="143">
        <f t="array" ref="O59">SUM(IF('2014-2017 Projects'!$C$6:$C$252="7.16 - Building Maintenance - Coastal / Central",'2014-2017 Projects'!$AV$6:$AV$252,0))</f>
        <v>-1146359.07</v>
      </c>
      <c r="P59" s="143">
        <f t="array" ref="P59">SUM(IF('2014-2017 Projects'!$C$6:$C$252="7.16 - Building Maintenance - Coastal / Central",'2014-2017 Projects'!$AW$6:$AW$252,0))</f>
        <v>0</v>
      </c>
      <c r="Q59" s="143">
        <f t="array" ref="Q59">SUM(IF('2014-2017 Projects'!$C$6:$C$252="7.16 - Building Maintenance - Coastal / Central",'2014-2017 Projects'!$AY$6:$AY$252,0))</f>
        <v>0</v>
      </c>
      <c r="R59" s="143"/>
      <c r="S59" s="143"/>
      <c r="T59" s="143"/>
      <c r="U59" s="143"/>
      <c r="V59" s="143"/>
      <c r="W59" s="143"/>
      <c r="X59" s="143"/>
      <c r="Y59" s="143"/>
      <c r="Z59" s="143"/>
      <c r="AA59" s="143"/>
      <c r="AB59" s="143"/>
      <c r="AC59" s="143"/>
      <c r="AD59" s="143"/>
      <c r="AE59" s="143"/>
      <c r="AF59" s="143"/>
      <c r="AG59" s="143"/>
      <c r="AH59" s="143">
        <f t="array" ref="AH59">SUM(IF('2014-2017 Projects'!$C$6:$C$252="7.16 - Building Maintenance - Coastal / Central",'2014-2017 Projects'!$BY$6:$BY$252,0))</f>
        <v>0</v>
      </c>
      <c r="AI59" s="143">
        <f t="array" ref="AI59">SUM(IF('2014-2017 Projects'!$C$6:$C$252="7.16 - Building Maintenance - Coastal / Central",'2014-2017 Projects'!$BZ$6:$BZ$252,0))</f>
        <v>0</v>
      </c>
      <c r="AJ59" s="143">
        <f t="array" ref="AJ59">SUM(IF('2014-2017 Projects'!$C$6:$C$252="7.16 - Building Maintenance - Coastal / Central",'2014-2017 Projects'!$BX$6:$BX$252,0))</f>
        <v>0</v>
      </c>
      <c r="AK59" s="143">
        <f t="shared" si="10"/>
        <v>5395288</v>
      </c>
      <c r="AL59" s="143">
        <f t="shared" si="11"/>
        <v>5395288</v>
      </c>
      <c r="AM59" s="390">
        <f t="shared" ref="AM59" si="34">AH59/H59</f>
        <v>0</v>
      </c>
      <c r="AN59" s="390">
        <f t="shared" ref="AN59" si="35">AI59/H59</f>
        <v>0</v>
      </c>
      <c r="AO59" s="156"/>
      <c r="AP59" s="156"/>
      <c r="AQ59" s="156"/>
      <c r="AR59" s="156"/>
      <c r="AS59" s="156"/>
      <c r="AT59" s="307"/>
      <c r="AU59" s="323"/>
      <c r="AV59" s="323"/>
      <c r="AW59" s="323"/>
      <c r="AX59" s="154"/>
    </row>
    <row r="60" spans="1:50" s="132" customFormat="1" x14ac:dyDescent="0.2">
      <c r="A60" s="169" t="s">
        <v>237</v>
      </c>
      <c r="B60" s="143">
        <f t="array" ref="B60">SUM(IF('2014-2017 Projects'!$A$6:$A$298="Municipal Manager's Office",'2014-2017 Projects'!$AG$6:$AG$298,0))</f>
        <v>12750000</v>
      </c>
      <c r="C60" s="143">
        <f t="array" ref="C60">SUM(IF('2014-2017 Projects'!$A$6:$A$298="Municipal Manager's Office",'2014-2017 Projects'!$AG$6:$AG$298,0))</f>
        <v>12750000</v>
      </c>
      <c r="D60" s="143">
        <f t="array" ref="D60">SUM(IF('2014-2017 Projects'!$A$6:$A$298="Municipal Manager's Office",'2014-2017 Projects'!$AG$6:$AG$298,0))</f>
        <v>12750000</v>
      </c>
      <c r="E60" s="143">
        <f t="array" ref="E60">SUM(IF('2014-2017 Projects'!$A$6:$A$298="Municipal Manager's Office",'2014-2017 Projects'!$AH$6:$AH$298,0))</f>
        <v>-10000000</v>
      </c>
      <c r="F60" s="143">
        <f t="array" ref="F60">SUM(IF('2014-2017 Projects'!$A$6:$A$298="Municipal Manager's Office",'2014-2017 Projects'!$AI$6:$AI$298,0))</f>
        <v>2750000</v>
      </c>
      <c r="G60" s="143"/>
      <c r="H60" s="143">
        <f t="array" ref="H60">SUM(IF('2014-2017 Projects'!$C$6:$C$252="7.30 - Transport Planning &amp; Operations Admin",'2014-2017 Projects'!$AK$6:$AK$252,0))</f>
        <v>24000000</v>
      </c>
      <c r="I60" s="143">
        <f t="array" ref="I60">SUM(IF('2014-2017 Projects'!$C$6:$C$252="7.30 - Transport Planning &amp; Operations Admin",'2014-2017 Projects'!$AM$6:$AM$252,0))</f>
        <v>24256818</v>
      </c>
      <c r="J60" s="143">
        <f t="array" ref="J60">SUM(IF('2014-2017 Projects'!$C$6:$C$252="7.30 - Transport Planning &amp; Operations Admin",'2014-2017 Projects'!$AN$6:$AN$252,0))</f>
        <v>52995</v>
      </c>
      <c r="K60" s="143">
        <f t="array" ref="K60">SUM(IF('2014-2017 Projects'!$C$6:$C$252="7.30 - Transport Planning &amp; Operations Admin",'2014-2017 Projects'!$AP$6:$AP$252,0))</f>
        <v>54571.4</v>
      </c>
      <c r="L60" s="143">
        <f t="array" ref="L60">SUM(IF('2014-2017 Projects'!$C$6:$C$252="7.30 - Transport Planning &amp; Operations Admin",'2014-2017 Projects'!$AQ$6:$AQ$252,0))</f>
        <v>1754959.43</v>
      </c>
      <c r="M60" s="143">
        <f t="array" ref="M60">SUM(IF('2014-2017 Projects'!$C$6:$C$252="7.30 - Transport Planning &amp; Operations Admin",'2014-2017 Projects'!$AS$6:$AS$252,0))</f>
        <v>2031059.23</v>
      </c>
      <c r="N60" s="143">
        <f t="array" ref="N60">SUM(IF('2014-2017 Projects'!$C$6:$C$252="7.30 - Transport Planning &amp; Operations Admin",'2014-2017 Projects'!$AT$6:$AT$252,0))</f>
        <v>1633771.02</v>
      </c>
      <c r="O60" s="143">
        <f t="array" ref="O60">SUM(IF('2014-2017 Projects'!$C$6:$C$252="7.30 - Transport Planning &amp; Operations Admin",'2014-2017 Projects'!$AV$6:$AV$252,0))</f>
        <v>1862498.99</v>
      </c>
      <c r="P60" s="143">
        <f t="array" ref="P60">SUM(IF('2014-2017 Projects'!$C$6:$C$252="7.30 - Transport Planning &amp; Operations Admin",'2014-2017 Projects'!$AW$6:$AW$252,0))</f>
        <v>922399.1</v>
      </c>
      <c r="Q60" s="143">
        <f t="array" ref="Q60">SUM(IF('2014-2017 Projects'!$C$6:$C$252="7.30 - Transport Planning &amp; Operations Admin",'2014-2017 Projects'!$AY$6:$AY$252,0))</f>
        <v>923975.5</v>
      </c>
      <c r="R60" s="143"/>
      <c r="S60" s="143"/>
      <c r="T60" s="143"/>
      <c r="U60" s="143"/>
      <c r="V60" s="143"/>
      <c r="W60" s="143"/>
      <c r="X60" s="143"/>
      <c r="Y60" s="143"/>
      <c r="Z60" s="143"/>
      <c r="AA60" s="143"/>
      <c r="AB60" s="143"/>
      <c r="AC60" s="143"/>
      <c r="AD60" s="143"/>
      <c r="AE60" s="143"/>
      <c r="AF60" s="143"/>
      <c r="AG60" s="143"/>
      <c r="AH60" s="143">
        <f t="array" ref="AH60">SUM(IF('2014-2017 Projects'!$C$6:$C$252="7.30 - Transport Planning &amp; Operations Admin",'2014-2017 Projects'!$BY$6:$BY$252,0))</f>
        <v>4364124.55</v>
      </c>
      <c r="AI60" s="143">
        <f t="array" ref="AI60">SUM(IF('2014-2017 Projects'!$C$6:$C$252="7.30 - Transport Planning &amp; Operations Admin",'2014-2017 Projects'!$BZ$6:$BZ$252,0))</f>
        <v>4872105.12</v>
      </c>
      <c r="AJ60" s="143">
        <f t="array" ref="AJ60">SUM(IF('2014-2017 Projects'!$C$6:$C$252="7.30 - Transport Planning &amp; Operations Admin",'2014-2017 Projects'!$BX$6:$BX$252,0))</f>
        <v>7146072.0700000003</v>
      </c>
      <c r="AK60" s="143">
        <f t="shared" si="10"/>
        <v>19892693.449999999</v>
      </c>
      <c r="AL60" s="143">
        <f t="shared" si="11"/>
        <v>19384712.879999999</v>
      </c>
      <c r="AM60" s="390">
        <f t="shared" si="12"/>
        <v>0.18183852291666666</v>
      </c>
      <c r="AN60" s="390">
        <f t="shared" si="13"/>
        <v>0.20300438000000001</v>
      </c>
      <c r="AO60" s="156"/>
      <c r="AP60" s="156"/>
      <c r="AQ60" s="156"/>
      <c r="AR60" s="156"/>
      <c r="AS60" s="156"/>
      <c r="AT60" s="307"/>
      <c r="AU60" s="323"/>
      <c r="AV60" s="323"/>
      <c r="AW60" s="323"/>
      <c r="AX60" s="154"/>
    </row>
    <row r="61" spans="1:50" s="132" customFormat="1" x14ac:dyDescent="0.2">
      <c r="A61" s="169" t="s">
        <v>634</v>
      </c>
      <c r="B61" s="143">
        <f t="array" ref="B61">SUM(IF('2014-2017 Projects'!$A$6:$A$277="Chief Operations Officer",'2014-2017 Projects'!$AG$6:$AG$277,0))</f>
        <v>0</v>
      </c>
      <c r="C61" s="143">
        <f t="array" ref="C61">SUM(IF('2014-2017 Projects'!$A$6:$A$277="Chief Operations Officer",'2014-2017 Projects'!$AG$6:$AG$277,0))</f>
        <v>0</v>
      </c>
      <c r="D61" s="143">
        <f t="array" ref="D61">SUM(IF('2014-2017 Projects'!$A$6:$A$277="Chief Operations Officer",'2014-2017 Projects'!$AG$6:$AG$277,0))</f>
        <v>0</v>
      </c>
      <c r="E61" s="143">
        <f t="array" ref="E61">SUM(IF('2014-2017 Projects'!$A$6:$A$277="Chief Operations Officer",'2014-2017 Projects'!$AH$6:$AH$277,0))</f>
        <v>0</v>
      </c>
      <c r="F61" s="143">
        <f t="array" ref="F61">SUM(IF('2014-2017 Projects'!$A$6:$A$277="Chief Operations Officer",'2014-2017 Projects'!$AI$6:$AI$277,0))</f>
        <v>0</v>
      </c>
      <c r="G61" s="143">
        <f t="array" ref="G61">SUM(IF('2014-2017 Projects'!$A$6:$A$277="Chief Operations Officer",'2014-2017 Projects'!$AG$6:$AG$277,0))</f>
        <v>0</v>
      </c>
      <c r="H61" s="143">
        <f t="array" ref="H61">SUM(IF('2014-2017 Projects'!$C$6:$C$252="7.35 - Local Economic Development",'2014-2017 Projects'!$AK$6:$AK$252,0))</f>
        <v>10000000</v>
      </c>
      <c r="I61" s="143">
        <f t="array" ref="I61">SUM(IF('2014-2017 Projects'!$C$6:$C$252="7.35 - Local Economic Development",'2014-2017 Projects'!$AM$6:$AM$252,0))</f>
        <v>10000000</v>
      </c>
      <c r="J61" s="143">
        <f t="array" ref="J61">SUM(IF('2014-2017 Projects'!$C$6:$C$252="7.35 - Local Economic Development",'2014-2017 Projects'!$AN$6:$AN$252,0))</f>
        <v>0</v>
      </c>
      <c r="K61" s="143">
        <f t="array" ref="K61">SUM(IF('2014-2017 Projects'!$C$6:$C$252="7.35 - Local Economic Development",'2014-2017 Projects'!$AP$6:$AP$252,0))</f>
        <v>0</v>
      </c>
      <c r="L61" s="143">
        <f t="array" ref="L61">SUM(IF('2014-2017 Projects'!$C$6:$C$252="7.35 - Local Economic Development",'2014-2017 Projects'!$AQ$6:$AQ$252,0))</f>
        <v>0</v>
      </c>
      <c r="M61" s="143">
        <f t="array" ref="M61">SUM(IF('2014-2017 Projects'!$C$6:$C$252="7.35 - Local Economic Development",'2014-2017 Projects'!$AS$6:$AS$252,0))</f>
        <v>0</v>
      </c>
      <c r="N61" s="143">
        <f t="array" ref="N61">SUM(IF('2014-2017 Projects'!$C$6:$C$252="7.35 - Local Economic Development",'2014-2017 Projects'!$AT$6:$AT$252,0))</f>
        <v>0</v>
      </c>
      <c r="O61" s="143">
        <f t="array" ref="O61">SUM(IF('2014-2017 Projects'!$C$6:$C$252="7.35 - Local Economic Development",'2014-2017 Projects'!$AV$6:$AV$252,0))</f>
        <v>0</v>
      </c>
      <c r="P61" s="143">
        <f t="array" ref="P61">SUM(IF('2014-2017 Projects'!$C$6:$C$252="7.35 - Local Economic Development",'2014-2017 Projects'!$AW$6:$AW$252,0))</f>
        <v>0</v>
      </c>
      <c r="Q61" s="143">
        <f t="array" ref="Q61">SUM(IF('2014-2017 Projects'!$C$6:$C$252="7.35 - Local Economic Development",'2014-2017 Projects'!$AY$6:$AY$252,0))</f>
        <v>0</v>
      </c>
      <c r="R61" s="143"/>
      <c r="S61" s="143"/>
      <c r="T61" s="143"/>
      <c r="U61" s="143"/>
      <c r="V61" s="143"/>
      <c r="W61" s="143"/>
      <c r="X61" s="143"/>
      <c r="Y61" s="143"/>
      <c r="Z61" s="143"/>
      <c r="AA61" s="143"/>
      <c r="AB61" s="143"/>
      <c r="AC61" s="143"/>
      <c r="AD61" s="143"/>
      <c r="AE61" s="143"/>
      <c r="AF61" s="143"/>
      <c r="AG61" s="143"/>
      <c r="AH61" s="143">
        <f t="array" ref="AH61">SUM(IF('2014-2017 Projects'!$C$6:$C$252="7.35 - Local Economic Development",'2014-2017 Projects'!$BY$6:$BY$252,0))</f>
        <v>0</v>
      </c>
      <c r="AI61" s="143">
        <f t="array" ref="AI61">SUM(IF('2014-2017 Projects'!$C$6:$C$252="7.35 - Local Economic Development",'2014-2017 Projects'!$BZ$6:$BZ$252,0))</f>
        <v>0</v>
      </c>
      <c r="AJ61" s="143">
        <f t="array" ref="AJ61">SUM(IF('2014-2017 Projects'!$C$6:$C$252="7.35 - Local Economic Development",'2014-2017 Projects'!$BX$6:$BX$252,0))</f>
        <v>0</v>
      </c>
      <c r="AK61" s="143">
        <f t="shared" si="10"/>
        <v>10000000</v>
      </c>
      <c r="AL61" s="143">
        <f t="shared" si="11"/>
        <v>10000000</v>
      </c>
      <c r="AM61" s="390">
        <f t="shared" si="12"/>
        <v>0</v>
      </c>
      <c r="AN61" s="390">
        <f t="shared" si="13"/>
        <v>0</v>
      </c>
      <c r="AO61" s="156"/>
      <c r="AP61" s="156"/>
      <c r="AQ61" s="156"/>
      <c r="AR61" s="156"/>
      <c r="AS61" s="156"/>
      <c r="AT61" s="307"/>
      <c r="AU61" s="323"/>
      <c r="AV61" s="323"/>
      <c r="AW61" s="323"/>
      <c r="AX61" s="154"/>
    </row>
    <row r="62" spans="1:50" s="132" customFormat="1" x14ac:dyDescent="0.2">
      <c r="A62" s="142" t="s">
        <v>635</v>
      </c>
      <c r="B62" s="143">
        <f t="array" ref="B62">SUM(IF('2014-2017 Projects'!$A$6:$A$277="Financial Services",'2014-2017 Projects'!$AG$6:$AG$277,0))</f>
        <v>0</v>
      </c>
      <c r="C62" s="143">
        <f t="array" ref="C62">SUM(IF('2014-2017 Projects'!$A$6:$A$277="Financial Services",'2014-2017 Projects'!$AG$6:$AG$277,0))</f>
        <v>0</v>
      </c>
      <c r="D62" s="143">
        <f t="array" ref="D62">SUM(IF('2014-2017 Projects'!$A$6:$A$277="Financial Services",'2014-2017 Projects'!$AG$6:$AG$277,0))</f>
        <v>0</v>
      </c>
      <c r="E62" s="143">
        <f t="array" ref="E62">SUM(IF('2014-2017 Projects'!$A$6:$A$277="Financial Services",'2014-2017 Projects'!$AH$6:$AH$277,0))</f>
        <v>0</v>
      </c>
      <c r="F62" s="143">
        <f t="array" ref="F62">SUM(IF('2014-2017 Projects'!$A$6:$A$277="Financial Services",'2014-2017 Projects'!$AI$6:$AI$277,0))</f>
        <v>0</v>
      </c>
      <c r="G62" s="143"/>
      <c r="H62" s="143">
        <f t="array" ref="H62">SUM(IF('2014-2017 Projects'!$C$6:$C$252="7.36 - Market",'2014-2017 Projects'!$AK$6:$AK$252,0))</f>
        <v>0</v>
      </c>
      <c r="I62" s="143">
        <f t="array" ref="I62">SUM(IF('2014-2017 Projects'!$C$6:$C$252="7.36 - Market",'2014-2017 Projects'!$AM$6:$AM$252,0))</f>
        <v>0</v>
      </c>
      <c r="J62" s="143">
        <f t="array" ref="J62">SUM(IF('2014-2017 Projects'!$C$6:$C$252="7.36 - Market",'2014-2017 Projects'!$AN$6:$AN$252,0))</f>
        <v>0</v>
      </c>
      <c r="K62" s="143">
        <f t="array" ref="K62">SUM(IF('2014-2017 Projects'!$C$6:$C$252="7.36 - Market",'2014-2017 Projects'!$AP$6:$AP$252,0))</f>
        <v>0</v>
      </c>
      <c r="L62" s="143">
        <f t="array" ref="L62">SUM(IF('2014-2017 Projects'!$C$6:$C$252="7.36 - Market",'2014-2017 Projects'!$AQ$6:$AQ$252,0))</f>
        <v>0</v>
      </c>
      <c r="M62" s="143">
        <f t="array" ref="M62">SUM(IF('2014-2017 Projects'!$C$6:$C$252="7.36 - Market",'2014-2017 Projects'!$AS$6:$AS$252,0))</f>
        <v>0</v>
      </c>
      <c r="N62" s="143">
        <f t="array" ref="N62">SUM(IF('2014-2017 Projects'!$C$6:$C$252="7.36 - Market",'2014-2017 Projects'!$AT$6:$AT$252,0))</f>
        <v>0</v>
      </c>
      <c r="O62" s="143">
        <f t="array" ref="O62">SUM(IF('2014-2017 Projects'!$C$6:$C$252="7.36 - Market",'2014-2017 Projects'!$AV$6:$AV$252,0))</f>
        <v>0</v>
      </c>
      <c r="P62" s="143">
        <f t="array" ref="P62">SUM(IF('2014-2017 Projects'!$C$6:$C$252="7.36 - Market",'2014-2017 Projects'!$AW$6:$AW$252,0))</f>
        <v>0</v>
      </c>
      <c r="Q62" s="143">
        <f t="array" ref="Q62">SUM(IF('2014-2017 Projects'!$C$6:$C$252="7.36 - Market",'2014-2017 Projects'!$AY$6:$AY$252,0))</f>
        <v>0</v>
      </c>
      <c r="R62" s="143"/>
      <c r="S62" s="143"/>
      <c r="T62" s="143"/>
      <c r="U62" s="143"/>
      <c r="V62" s="143"/>
      <c r="W62" s="143"/>
      <c r="X62" s="143"/>
      <c r="Y62" s="143"/>
      <c r="Z62" s="143"/>
      <c r="AA62" s="143"/>
      <c r="AB62" s="143"/>
      <c r="AC62" s="143"/>
      <c r="AD62" s="143"/>
      <c r="AE62" s="143"/>
      <c r="AF62" s="143"/>
      <c r="AG62" s="143"/>
      <c r="AH62" s="143">
        <f t="array" ref="AH62">SUM(IF('2014-2017 Projects'!$C$6:$C$252="7.36 - Market",'2014-2017 Projects'!$BY$6:$BY$252,0))</f>
        <v>0</v>
      </c>
      <c r="AI62" s="143">
        <f t="array" ref="AI62">SUM(IF('2014-2017 Projects'!$C$6:$C$252="7.36 - Market",'2014-2017 Projects'!$BZ$6:$BZ$252,0))</f>
        <v>0</v>
      </c>
      <c r="AJ62" s="143">
        <f t="array" ref="AJ62">SUM(IF('2014-2017 Projects'!$C$6:$C$252="7.36 - Market",'2014-2017 Projects'!$BX$6:$BX$252,0))</f>
        <v>0</v>
      </c>
      <c r="AK62" s="143">
        <f t="shared" si="10"/>
        <v>0</v>
      </c>
      <c r="AL62" s="143">
        <f t="shared" si="11"/>
        <v>0</v>
      </c>
      <c r="AM62" s="390" t="e">
        <f t="shared" si="12"/>
        <v>#DIV/0!</v>
      </c>
      <c r="AN62" s="390" t="e">
        <f t="shared" si="13"/>
        <v>#DIV/0!</v>
      </c>
      <c r="AO62" s="156"/>
      <c r="AP62" s="156"/>
      <c r="AQ62" s="156"/>
      <c r="AR62" s="156"/>
      <c r="AS62" s="156"/>
      <c r="AT62" s="307"/>
      <c r="AU62" s="323"/>
      <c r="AV62" s="323"/>
      <c r="AW62" s="323"/>
      <c r="AX62" s="154"/>
    </row>
    <row r="63" spans="1:50" s="132" customFormat="1" x14ac:dyDescent="0.2">
      <c r="A63" s="142" t="s">
        <v>238</v>
      </c>
      <c r="B63" s="143">
        <f t="array" ref="B63">SUM(IF('2014-2017 Projects'!$A$6:$A$277="Corporate Services",'2014-2017 Projects'!$AG$6:$AG$277,0))</f>
        <v>6600000</v>
      </c>
      <c r="C63" s="143">
        <f t="array" ref="C63">SUM(IF('2014-2017 Projects'!$A$6:$A$277="Corporate Services",'2014-2017 Projects'!$AG$6:$AG$277,0))</f>
        <v>6600000</v>
      </c>
      <c r="D63" s="143">
        <f t="array" ref="D63">SUM(IF('2014-2017 Projects'!$A$6:$A$277="Corporate Services",'2014-2017 Projects'!$AG$6:$AG$277,0))</f>
        <v>6600000</v>
      </c>
      <c r="E63" s="143">
        <f t="array" ref="E63">SUM(IF('2014-2017 Projects'!$A$6:$A$277="Corporate Services",'2014-2017 Projects'!$AH$6:$AH$277,0))</f>
        <v>0</v>
      </c>
      <c r="F63" s="143">
        <f t="array" ref="F63">SUM(IF('2014-2017 Projects'!$A$6:$A$277="Corporate Services",'2014-2017 Projects'!$AI$6:$AI$277,0))</f>
        <v>6600000</v>
      </c>
      <c r="G63" s="143"/>
      <c r="H63" s="143">
        <f t="array" ref="H63">SUM(IF('2014-2017 Projects'!$C$6:$C$252="8.1 - Office of The Director of Health &amp; Public Safety",'2014-2017 Projects'!$AK$6:$AK$252,0))</f>
        <v>500000</v>
      </c>
      <c r="I63" s="143">
        <f t="array" ref="I63">SUM(IF('2014-2017 Projects'!$C$6:$C$252="8.1 - Office of The Director of Health &amp; Public Safety",'2014-2017 Projects'!$AM$6:$AM$252,0))</f>
        <v>500000</v>
      </c>
      <c r="J63" s="143">
        <f t="array" ref="J63">SUM(IF('2014-2017 Projects'!$C$6:$C$252="8.1 - Office of The Director of Health &amp; Public Safety",'2014-2017 Projects'!$AN$6:$AN$252,0))</f>
        <v>0</v>
      </c>
      <c r="K63" s="143">
        <f t="array" ref="K63">SUM(IF('2014-2017 Projects'!$C$6:$C$252="8.1 - Office of The Director of Health &amp; Public Safety",'2014-2017 Projects'!$AP$6:$AP$252,0))</f>
        <v>0</v>
      </c>
      <c r="L63" s="143">
        <f t="array" ref="L63">SUM(IF('2014-2017 Projects'!$C$6:$C$252="8.1 - Office of The Director of Health &amp; Public Safety",'2014-2017 Projects'!$AQ$6:$AQ$252,0))</f>
        <v>0</v>
      </c>
      <c r="M63" s="143">
        <f t="array" ref="M63">SUM(IF('2014-2017 Projects'!$C$6:$C$252="8.1 - Office of The Director of Health &amp; Public Safety",'2014-2017 Projects'!$AS$6:$AS$252,0))</f>
        <v>0</v>
      </c>
      <c r="N63" s="143">
        <f t="array" ref="N63">SUM(IF('2014-2017 Projects'!$C$6:$C$252="8.1 - Office of The Director of Health &amp; Public Safety",'2014-2017 Projects'!$AT$6:$AT$252,0))</f>
        <v>0</v>
      </c>
      <c r="O63" s="143">
        <f t="array" ref="O63">SUM(IF('2014-2017 Projects'!$C$6:$C$252="8.1 - Office of The Director of Health &amp; Public Safety",'2014-2017 Projects'!$AV$6:$AV$252,0))</f>
        <v>0</v>
      </c>
      <c r="P63" s="143">
        <f t="array" ref="P63">SUM(IF('2014-2017 Projects'!$C$6:$C$252="8.1 - Office of The Director of Health &amp; Public Safety",'2014-2017 Projects'!$AW$6:$AW$252,0))</f>
        <v>0</v>
      </c>
      <c r="Q63" s="143">
        <f t="array" ref="Q63">SUM(IF('2014-2017 Projects'!$C$6:$C$252="8.1 - Office of The Director of Health &amp; Public Safety",'2014-2017 Projects'!$AY$6:$AY$252,0))</f>
        <v>0</v>
      </c>
      <c r="R63" s="143"/>
      <c r="S63" s="143"/>
      <c r="T63" s="143"/>
      <c r="U63" s="143"/>
      <c r="V63" s="143"/>
      <c r="W63" s="143"/>
      <c r="X63" s="143"/>
      <c r="Y63" s="143"/>
      <c r="Z63" s="143"/>
      <c r="AA63" s="143"/>
      <c r="AB63" s="143"/>
      <c r="AC63" s="143"/>
      <c r="AD63" s="143"/>
      <c r="AE63" s="143"/>
      <c r="AF63" s="143"/>
      <c r="AG63" s="143"/>
      <c r="AH63" s="143">
        <f t="array" ref="AH63">SUM(IF('2014-2017 Projects'!$C$6:$C$252="8.1 - Office of The Director of Health &amp; Public Safety",'2014-2017 Projects'!$BY$6:$BY$252,0))</f>
        <v>0</v>
      </c>
      <c r="AI63" s="143">
        <f t="array" ref="AI63">SUM(IF('2014-2017 Projects'!$C$6:$C$252="8.1 - Office of The Director of Health &amp; Public Safety",'2014-2017 Projects'!$BZ$6:$BZ$252,0))</f>
        <v>0</v>
      </c>
      <c r="AJ63" s="143">
        <f t="array" ref="AJ63">SUM(IF('2014-2017 Projects'!$C$6:$C$252="8.1 - Office of The Director of Health &amp; Public Safety",'2014-2017 Projects'!$BX$6:$BX$252,0))</f>
        <v>21000</v>
      </c>
      <c r="AK63" s="143">
        <f t="shared" si="10"/>
        <v>500000</v>
      </c>
      <c r="AL63" s="143">
        <f t="shared" si="11"/>
        <v>500000</v>
      </c>
      <c r="AM63" s="390">
        <f t="shared" si="12"/>
        <v>0</v>
      </c>
      <c r="AN63" s="390">
        <f t="shared" si="13"/>
        <v>0</v>
      </c>
      <c r="AO63" s="156"/>
      <c r="AP63" s="156"/>
      <c r="AQ63" s="156"/>
      <c r="AR63" s="156"/>
      <c r="AS63" s="156"/>
      <c r="AT63" s="307"/>
      <c r="AU63" s="323"/>
      <c r="AV63" s="323"/>
      <c r="AW63" s="323"/>
      <c r="AX63" s="154"/>
    </row>
    <row r="64" spans="1:50" s="132" customFormat="1" x14ac:dyDescent="0.2">
      <c r="A64" s="142" t="s">
        <v>681</v>
      </c>
      <c r="B64" s="143"/>
      <c r="C64" s="143"/>
      <c r="D64" s="143"/>
      <c r="E64" s="143"/>
      <c r="F64" s="143"/>
      <c r="G64" s="143"/>
      <c r="H64" s="143">
        <f t="array" ref="H64">SUM(IF('2014-2017 Projects'!$C$6:$C$252="8.3 - Health Administration",'2014-2017 Projects'!$AK$6:$AK$252,0))</f>
        <v>0</v>
      </c>
      <c r="I64" s="143">
        <f t="array" ref="I64">SUM(IF('2014-2017 Projects'!$C$6:$C$252="8.3 - Health Administration",'2014-2017 Projects'!$AM$6:$AM$252,0))</f>
        <v>0</v>
      </c>
      <c r="J64" s="143">
        <f t="array" ref="J64">SUM(IF('2014-2017 Projects'!$C$6:$C$252="8.3 - Health Administration",'2014-2017 Projects'!$AN$6:$AN$252,0))</f>
        <v>0</v>
      </c>
      <c r="K64" s="143">
        <f t="array" ref="K64">SUM(IF('2014-2017 Projects'!$C$6:$C$252="8.3 - Health Administration",'2014-2017 Projects'!$AP$6:$AP$252,0))</f>
        <v>0</v>
      </c>
      <c r="L64" s="143">
        <f t="array" ref="L64">SUM(IF('2014-2017 Projects'!$C$6:$C$252="8.3 - Health Administration",'2014-2017 Projects'!$AQ$6:$AQ$252,0))</f>
        <v>0</v>
      </c>
      <c r="M64" s="143">
        <f t="array" ref="M64">SUM(IF('2014-2017 Projects'!$C$6:$C$252="8.3 - Health Administration",'2014-2017 Projects'!$AS$6:$AS$252,0))</f>
        <v>0</v>
      </c>
      <c r="N64" s="143">
        <f t="array" ref="N64">SUM(IF('2014-2017 Projects'!$C$6:$C$252="8.3 - Health Administration",'2014-2017 Projects'!$AT$6:$AT$252,0))</f>
        <v>0</v>
      </c>
      <c r="O64" s="143">
        <f t="array" ref="O64">SUM(IF('2014-2017 Projects'!$C$6:$C$252="8.3 - Health Administration",'2014-2017 Projects'!$AV$6:$AV$252,0))</f>
        <v>0</v>
      </c>
      <c r="P64" s="143">
        <f t="array" ref="P64">SUM(IF('2014-2017 Projects'!$C$6:$C$252="8.3 - Health Administration",'2014-2017 Projects'!$AW$6:$AW$252,0))</f>
        <v>0</v>
      </c>
      <c r="Q64" s="143">
        <f t="array" ref="Q64">SUM(IF('2014-2017 Projects'!$C$6:$C$252="8.3 - Health Administration",'2014-2017 Projects'!$AY$6:$AY$252,0))</f>
        <v>0</v>
      </c>
      <c r="R64" s="143"/>
      <c r="S64" s="143"/>
      <c r="T64" s="143"/>
      <c r="U64" s="143"/>
      <c r="V64" s="143"/>
      <c r="W64" s="143"/>
      <c r="X64" s="143"/>
      <c r="Y64" s="143"/>
      <c r="Z64" s="143"/>
      <c r="AA64" s="143"/>
      <c r="AB64" s="143"/>
      <c r="AC64" s="143"/>
      <c r="AD64" s="143"/>
      <c r="AE64" s="143"/>
      <c r="AF64" s="143"/>
      <c r="AG64" s="143"/>
      <c r="AH64" s="143">
        <f t="array" ref="AH64">SUM(IF('2014-2017 Projects'!$C$6:$C$252="8.3 - Health Administration",'2014-2017 Projects'!$BY$6:$BY$252,0))</f>
        <v>0</v>
      </c>
      <c r="AI64" s="143">
        <f t="array" ref="AI64">SUM(IF('2014-2017 Projects'!$C$6:$C$252="8.3 - Health Administration",'2014-2017 Projects'!$BZ$6:$BZ$252,0))</f>
        <v>0</v>
      </c>
      <c r="AJ64" s="143">
        <f t="array" ref="AJ64">SUM(IF('2014-2017 Projects'!$C$6:$C$252="8.3 - Health Administration",'2014-2017 Projects'!$BX$6:$BX$252,0))</f>
        <v>0</v>
      </c>
      <c r="AK64" s="143">
        <f t="shared" si="10"/>
        <v>0</v>
      </c>
      <c r="AL64" s="143">
        <f t="shared" si="11"/>
        <v>0</v>
      </c>
      <c r="AM64" s="390" t="e">
        <f t="shared" si="12"/>
        <v>#DIV/0!</v>
      </c>
      <c r="AN64" s="390" t="e">
        <f t="shared" si="13"/>
        <v>#DIV/0!</v>
      </c>
      <c r="AO64" s="156"/>
      <c r="AP64" s="156"/>
      <c r="AQ64" s="156"/>
      <c r="AR64" s="156"/>
      <c r="AS64" s="156"/>
      <c r="AT64" s="307"/>
      <c r="AU64" s="323"/>
      <c r="AV64" s="323"/>
      <c r="AW64" s="323"/>
      <c r="AX64" s="154"/>
    </row>
    <row r="65" spans="1:50" s="132" customFormat="1" x14ac:dyDescent="0.2">
      <c r="A65" s="142" t="s">
        <v>639</v>
      </c>
      <c r="B65" s="143">
        <f t="array" ref="B65">SUM(IF('2014-2017 Projects'!$A$6:$A$298="Municipal Manager's Office",'2014-2017 Projects'!$AG$6:$AG$298,0))</f>
        <v>12750000</v>
      </c>
      <c r="C65" s="143">
        <f t="array" ref="C65">SUM(IF('2014-2017 Projects'!$A$6:$A$298="Municipal Manager's Office",'2014-2017 Projects'!$AG$6:$AG$298,0))</f>
        <v>12750000</v>
      </c>
      <c r="D65" s="143">
        <f t="array" ref="D65">SUM(IF('2014-2017 Projects'!$A$6:$A$298="Municipal Manager's Office",'2014-2017 Projects'!$AG$6:$AG$298,0))</f>
        <v>12750000</v>
      </c>
      <c r="E65" s="143">
        <f t="array" ref="E65">SUM(IF('2014-2017 Projects'!$A$6:$A$298="Municipal Manager's Office",'2014-2017 Projects'!$AH$6:$AH$298,0))</f>
        <v>-10000000</v>
      </c>
      <c r="F65" s="143">
        <f t="array" ref="F65">SUM(IF('2014-2017 Projects'!$A$6:$A$298="Municipal Manager's Office",'2014-2017 Projects'!$AI$6:$AI$298,0))</f>
        <v>2750000</v>
      </c>
      <c r="G65" s="143"/>
      <c r="H65" s="143">
        <f t="array" ref="H65">SUM(IF('2014-2017 Projects'!$C$6:$C$252="8.4 - Health Support",'2014-2017 Projects'!$AK$6:$AK$252,0))</f>
        <v>0</v>
      </c>
      <c r="I65" s="143">
        <f t="array" ref="I65">SUM(IF('2014-2017 Projects'!$C$6:$C$252="8.4 - Health Support",'2014-2017 Projects'!$AM$6:$AM$252,0))</f>
        <v>216000</v>
      </c>
      <c r="J65" s="143">
        <f t="array" ref="J65">SUM(IF('2014-2017 Projects'!$C$6:$C$252="8.4 - Health Support",'2014-2017 Projects'!$AN$6:$AN$252,0))</f>
        <v>0</v>
      </c>
      <c r="K65" s="143">
        <f t="array" ref="K65">SUM(IF('2014-2017 Projects'!$C$6:$C$252="8.4 - Health Support",'2014-2017 Projects'!$AP$6:$AP$252,0))</f>
        <v>0</v>
      </c>
      <c r="L65" s="143">
        <f t="array" ref="L65">SUM(IF('2014-2017 Projects'!$C$6:$C$252="8.4 - Health Support",'2014-2017 Projects'!$AQ$6:$AQ$252,0))</f>
        <v>0</v>
      </c>
      <c r="M65" s="143">
        <f t="array" ref="M65">SUM(IF('2014-2017 Projects'!$C$6:$C$252="8.4 - Health Support",'2014-2017 Projects'!$AS$6:$AS$252,0))</f>
        <v>0</v>
      </c>
      <c r="N65" s="143">
        <f t="array" ref="N65">SUM(IF('2014-2017 Projects'!$C$6:$C$252="8.4 - Health Support",'2014-2017 Projects'!$AT$6:$AT$252,0))</f>
        <v>0</v>
      </c>
      <c r="O65" s="143">
        <f t="array" ref="O65">SUM(IF('2014-2017 Projects'!$C$6:$C$252="8.4 - Health Support",'2014-2017 Projects'!$AV$6:$AV$252,0))</f>
        <v>0</v>
      </c>
      <c r="P65" s="143">
        <f t="array" ref="P65">SUM(IF('2014-2017 Projects'!$C$6:$C$252="8.4 - Health Support",'2014-2017 Projects'!$AW$6:$AW$252,0))</f>
        <v>0</v>
      </c>
      <c r="Q65" s="143">
        <f t="array" ref="Q65">SUM(IF('2014-2017 Projects'!$C$6:$C$252="8.4 - Health Support",'2014-2017 Projects'!$AY$6:$AY$252,0))</f>
        <v>0</v>
      </c>
      <c r="R65" s="143"/>
      <c r="S65" s="143"/>
      <c r="T65" s="143"/>
      <c r="U65" s="143"/>
      <c r="V65" s="143"/>
      <c r="W65" s="143"/>
      <c r="X65" s="143"/>
      <c r="Y65" s="143"/>
      <c r="Z65" s="143"/>
      <c r="AA65" s="143"/>
      <c r="AB65" s="143"/>
      <c r="AC65" s="143"/>
      <c r="AD65" s="143"/>
      <c r="AE65" s="143"/>
      <c r="AF65" s="143"/>
      <c r="AG65" s="143"/>
      <c r="AH65" s="143">
        <f t="array" ref="AH65">SUM(IF('2014-2017 Projects'!$C$6:$C$252="8.4 - Health Support",'2014-2017 Projects'!$BY$6:$BY$252,0))</f>
        <v>0</v>
      </c>
      <c r="AI65" s="143">
        <f t="array" ref="AI65">SUM(IF('2014-2017 Projects'!$C$6:$C$252="8.4 - Health Support",'2014-2017 Projects'!$BZ$6:$BZ$252,0))</f>
        <v>0</v>
      </c>
      <c r="AJ65" s="143">
        <f t="array" ref="AJ65">SUM(IF('2014-2017 Projects'!$C$6:$C$252="8.4 - Health Support",'2014-2017 Projects'!$BX$6:$BX$252,0))</f>
        <v>0</v>
      </c>
      <c r="AK65" s="143">
        <f t="shared" si="10"/>
        <v>216000</v>
      </c>
      <c r="AL65" s="143">
        <f t="shared" si="11"/>
        <v>216000</v>
      </c>
      <c r="AM65" s="390" t="e">
        <f>AH65/H65</f>
        <v>#DIV/0!</v>
      </c>
      <c r="AN65" s="390" t="e">
        <f>AI65/H65</f>
        <v>#DIV/0!</v>
      </c>
      <c r="AO65" s="156"/>
      <c r="AP65" s="156"/>
      <c r="AQ65" s="156"/>
      <c r="AR65" s="156"/>
      <c r="AS65" s="156"/>
      <c r="AT65" s="307"/>
      <c r="AU65" s="323"/>
      <c r="AV65" s="323"/>
      <c r="AW65" s="323"/>
      <c r="AX65" s="154"/>
    </row>
    <row r="66" spans="1:50" s="132" customFormat="1" x14ac:dyDescent="0.2">
      <c r="A66" s="142" t="s">
        <v>683</v>
      </c>
      <c r="B66" s="143"/>
      <c r="C66" s="143"/>
      <c r="D66" s="143"/>
      <c r="E66" s="143"/>
      <c r="F66" s="143"/>
      <c r="G66" s="143"/>
      <c r="H66" s="143">
        <f t="array" ref="H66">SUM(IF('2014-2017 Projects'!$C$6:$C$252="8.12 - Public Safety Administration",'2014-2017 Projects'!$AK$6:$AK$252,0))</f>
        <v>0</v>
      </c>
      <c r="I66" s="143">
        <f t="array" ref="I66">SUM(IF('2014-2017 Projects'!$C$6:$C$252="8.12 - Public Safety Administration",'2014-2017 Projects'!$AM$6:$AM$252,0))</f>
        <v>0</v>
      </c>
      <c r="J66" s="143">
        <f t="array" ref="J66">SUM(IF('2014-2017 Projects'!$C$6:$C$252="8.12 - Public Safety Administration",'2014-2017 Projects'!$AN$6:$AN$252,0))</f>
        <v>0</v>
      </c>
      <c r="K66" s="143">
        <f t="array" ref="K66">SUM(IF('2014-2017 Projects'!$C$6:$C$252="8.12 - Public Safety Administration",'2014-2017 Projects'!$AP$6:$AP$252,0))</f>
        <v>0</v>
      </c>
      <c r="L66" s="143">
        <f t="array" ref="L66">SUM(IF('2014-2017 Projects'!$C$6:$C$252="8.12 - Public Safety Administration",'2014-2017 Projects'!$AQ$6:$AQ$252,0))</f>
        <v>0</v>
      </c>
      <c r="M66" s="143">
        <f t="array" ref="M66">SUM(IF('2014-2017 Projects'!$C$6:$C$252="8.12 - Public Safety Administration",'2014-2017 Projects'!$AS$6:$AS$252,0))</f>
        <v>0</v>
      </c>
      <c r="N66" s="143">
        <f t="array" ref="N66">SUM(IF('2014-2017 Projects'!$C$6:$C$252="8.12 - Public Safety Administration",'2014-2017 Projects'!$AT$6:$AT$252,0))</f>
        <v>0</v>
      </c>
      <c r="O66" s="143">
        <f t="array" ref="O66">SUM(IF('2014-2017 Projects'!$C$6:$C$252="8.12 - Public Safety Administration",'2014-2017 Projects'!$AV$6:$AV$252,0))</f>
        <v>0</v>
      </c>
      <c r="P66" s="143">
        <f t="array" ref="P66">SUM(IF('2014-2017 Projects'!$C$6:$C$252="8.12 - Public Safety Administration",'2014-2017 Projects'!$AW$6:$AW$252,0))</f>
        <v>0</v>
      </c>
      <c r="Q66" s="143">
        <f t="array" ref="Q66">SUM(IF('2014-2017 Projects'!$C$6:$C$252="8.12 - Public Safety Administration",'2014-2017 Projects'!$AY$6:$AY$252,0))</f>
        <v>0</v>
      </c>
      <c r="R66" s="143"/>
      <c r="S66" s="143"/>
      <c r="T66" s="143"/>
      <c r="U66" s="143"/>
      <c r="V66" s="143"/>
      <c r="W66" s="143"/>
      <c r="X66" s="143"/>
      <c r="Y66" s="143"/>
      <c r="Z66" s="143"/>
      <c r="AA66" s="143"/>
      <c r="AB66" s="143"/>
      <c r="AC66" s="143"/>
      <c r="AD66" s="143"/>
      <c r="AE66" s="143"/>
      <c r="AF66" s="143"/>
      <c r="AG66" s="143"/>
      <c r="AH66" s="143">
        <f t="array" ref="AH66">SUM(IF('2014-2017 Projects'!$C$6:$C$252="8.12 - Public Safety Administration",'2014-2017 Projects'!$BY$6:$BY$252,0))</f>
        <v>0</v>
      </c>
      <c r="AI66" s="143">
        <f t="array" ref="AI66">SUM(IF('2014-2017 Projects'!$C$6:$C$252="8.12 - Public Safety Administration",'2014-2017 Projects'!$BZ$6:$BZ$252,0))</f>
        <v>0</v>
      </c>
      <c r="AJ66" s="143">
        <f t="array" ref="AJ66">SUM(IF('2014-2017 Projects'!$C$6:$C$252="8.12 - Public Safety Administration",'2014-2017 Projects'!$BX$6:$BX$252,0))</f>
        <v>0</v>
      </c>
      <c r="AK66" s="143">
        <f t="shared" si="10"/>
        <v>0</v>
      </c>
      <c r="AL66" s="143">
        <f t="shared" si="11"/>
        <v>0</v>
      </c>
      <c r="AM66" s="390" t="e">
        <f>AH66/H66</f>
        <v>#DIV/0!</v>
      </c>
      <c r="AN66" s="390" t="e">
        <f>AI66/H66</f>
        <v>#DIV/0!</v>
      </c>
      <c r="AO66" s="156"/>
      <c r="AP66" s="156"/>
      <c r="AQ66" s="156"/>
      <c r="AR66" s="156"/>
      <c r="AS66" s="156"/>
      <c r="AT66" s="307"/>
      <c r="AU66" s="323"/>
      <c r="AV66" s="323"/>
      <c r="AW66" s="323"/>
      <c r="AX66" s="154"/>
    </row>
    <row r="67" spans="1:50" s="132" customFormat="1" x14ac:dyDescent="0.2">
      <c r="A67" s="142" t="s">
        <v>636</v>
      </c>
      <c r="B67" s="143">
        <f t="array" ref="B67">SUM(IF('2014-2017 Projects'!$A$6:$A$298="Municipal Manager's Office",'2014-2017 Projects'!$AG$6:$AG$298,0))</f>
        <v>12750000</v>
      </c>
      <c r="C67" s="143">
        <f t="array" ref="C67">SUM(IF('2014-2017 Projects'!$A$6:$A$298="Municipal Manager's Office",'2014-2017 Projects'!$AG$6:$AG$298,0))</f>
        <v>12750000</v>
      </c>
      <c r="D67" s="143">
        <f t="array" ref="D67">SUM(IF('2014-2017 Projects'!$A$6:$A$298="Municipal Manager's Office",'2014-2017 Projects'!$AG$6:$AG$298,0))</f>
        <v>12750000</v>
      </c>
      <c r="E67" s="143">
        <f t="array" ref="E67">SUM(IF('2014-2017 Projects'!$A$6:$A$298="Municipal Manager's Office",'2014-2017 Projects'!$AH$6:$AH$298,0))</f>
        <v>-10000000</v>
      </c>
      <c r="F67" s="143">
        <f t="array" ref="F67">SUM(IF('2014-2017 Projects'!$A$6:$A$298="Municipal Manager's Office",'2014-2017 Projects'!$AI$6:$AI$298,0))</f>
        <v>2750000</v>
      </c>
      <c r="G67" s="143"/>
      <c r="H67" s="143">
        <f t="array" ref="H67">SUM(IF('2014-2017 Projects'!$C$6:$C$252="8.13 - Fire and Rescue Services",'2014-2017 Projects'!$AK$6:$AK$252,0))</f>
        <v>4000000</v>
      </c>
      <c r="I67" s="143">
        <f t="array" ref="I67">SUM(IF('2014-2017 Projects'!$C$6:$C$252="8.13 - Fire and Rescue Services",'2014-2017 Projects'!$AM$6:$AM$252,0))</f>
        <v>4965909</v>
      </c>
      <c r="J67" s="143">
        <f t="array" ref="J67">SUM(IF('2014-2017 Projects'!$C$6:$C$252="8.13 - Fire and Rescue Services",'2014-2017 Projects'!$AN$6:$AN$252,0))</f>
        <v>0</v>
      </c>
      <c r="K67" s="143">
        <f t="array" ref="K67">SUM(IF('2014-2017 Projects'!$C$6:$C$252="8.13 - Fire and Rescue Services",'2014-2017 Projects'!$AP$6:$AP$252,0))</f>
        <v>0</v>
      </c>
      <c r="L67" s="143">
        <f t="array" ref="L67">SUM(IF('2014-2017 Projects'!$C$6:$C$252="8.13 - Fire and Rescue Services",'2014-2017 Projects'!$AQ$6:$AQ$252,0))</f>
        <v>0</v>
      </c>
      <c r="M67" s="143">
        <f t="array" ref="M67">SUM(IF('2014-2017 Projects'!$C$6:$C$252="8.13 - Fire and Rescue Services",'2014-2017 Projects'!$AS$6:$AS$252,0))</f>
        <v>0</v>
      </c>
      <c r="N67" s="143">
        <f t="array" ref="N67">SUM(IF('2014-2017 Projects'!$C$6:$C$252="8.13 - Fire and Rescue Services",'2014-2017 Projects'!$AT$6:$AT$252,0))</f>
        <v>79776.800000000003</v>
      </c>
      <c r="O67" s="143">
        <f t="array" ref="O67">SUM(IF('2014-2017 Projects'!$C$6:$C$252="8.13 - Fire and Rescue Services",'2014-2017 Projects'!$AV$6:$AV$252,0))</f>
        <v>79776.800000000003</v>
      </c>
      <c r="P67" s="143">
        <f t="array" ref="P67">SUM(IF('2014-2017 Projects'!$C$6:$C$252="8.13 - Fire and Rescue Services",'2014-2017 Projects'!$AW$6:$AW$252,0))</f>
        <v>0</v>
      </c>
      <c r="Q67" s="143">
        <f t="array" ref="Q67">SUM(IF('2014-2017 Projects'!$C$6:$C$252="8.13 - Fire and Rescue Services",'2014-2017 Projects'!$AY$6:$AY$252,0))</f>
        <v>0</v>
      </c>
      <c r="R67" s="143"/>
      <c r="S67" s="143"/>
      <c r="T67" s="143"/>
      <c r="U67" s="143"/>
      <c r="V67" s="143"/>
      <c r="W67" s="143"/>
      <c r="X67" s="143"/>
      <c r="Y67" s="143"/>
      <c r="Z67" s="143"/>
      <c r="AA67" s="143"/>
      <c r="AB67" s="143"/>
      <c r="AC67" s="143"/>
      <c r="AD67" s="143"/>
      <c r="AE67" s="143"/>
      <c r="AF67" s="143"/>
      <c r="AG67" s="143"/>
      <c r="AH67" s="143">
        <f t="array" ref="AH67">SUM(IF('2014-2017 Projects'!$C$6:$C$252="8.13 - Fire and Rescue Services",'2014-2017 Projects'!$BY$6:$BY$252,0))</f>
        <v>79776.800000000003</v>
      </c>
      <c r="AI67" s="143">
        <f t="array" ref="AI67">SUM(IF('2014-2017 Projects'!$C$6:$C$252="8.13 - Fire and Rescue Services",'2014-2017 Projects'!$BZ$6:$BZ$252,0))</f>
        <v>79776.800000000003</v>
      </c>
      <c r="AJ67" s="143">
        <f t="array" ref="AJ67">SUM(IF('2014-2017 Projects'!$C$6:$C$252="8.13 - Fire and Rescue Services",'2014-2017 Projects'!$BX$6:$BX$252,0))</f>
        <v>0</v>
      </c>
      <c r="AK67" s="143">
        <f t="shared" si="10"/>
        <v>4886132.2</v>
      </c>
      <c r="AL67" s="143">
        <f t="shared" si="11"/>
        <v>4886132.2</v>
      </c>
      <c r="AM67" s="390">
        <f t="shared" si="12"/>
        <v>1.9944200000000002E-2</v>
      </c>
      <c r="AN67" s="390">
        <f t="shared" si="13"/>
        <v>1.9944200000000002E-2</v>
      </c>
      <c r="AO67" s="156"/>
      <c r="AP67" s="156"/>
      <c r="AQ67" s="156"/>
      <c r="AR67" s="156"/>
      <c r="AS67" s="156"/>
      <c r="AT67" s="307"/>
      <c r="AU67" s="323"/>
      <c r="AV67" s="323"/>
      <c r="AW67" s="323"/>
      <c r="AX67" s="154"/>
    </row>
    <row r="68" spans="1:50" s="132" customFormat="1" x14ac:dyDescent="0.2">
      <c r="A68" s="142" t="s">
        <v>637</v>
      </c>
      <c r="B68" s="143">
        <f t="array" ref="B68">SUM(IF('2014-2017 Projects'!$A$6:$A$277="Chief Operations Officer",'2014-2017 Projects'!$AG$6:$AG$277,0))</f>
        <v>0</v>
      </c>
      <c r="C68" s="143">
        <f t="array" ref="C68">SUM(IF('2014-2017 Projects'!$A$6:$A$277="Chief Operations Officer",'2014-2017 Projects'!$AG$6:$AG$277,0))</f>
        <v>0</v>
      </c>
      <c r="D68" s="143">
        <f t="array" ref="D68">SUM(IF('2014-2017 Projects'!$A$6:$A$277="Chief Operations Officer",'2014-2017 Projects'!$AG$6:$AG$277,0))</f>
        <v>0</v>
      </c>
      <c r="E68" s="143">
        <f t="array" ref="E68">SUM(IF('2014-2017 Projects'!$A$6:$A$277="Chief Operations Officer",'2014-2017 Projects'!$AH$6:$AH$277,0))</f>
        <v>0</v>
      </c>
      <c r="F68" s="143">
        <f t="array" ref="F68">SUM(IF('2014-2017 Projects'!$A$6:$A$277="Chief Operations Officer",'2014-2017 Projects'!$AI$6:$AI$277,0))</f>
        <v>0</v>
      </c>
      <c r="G68" s="143">
        <f t="array" ref="G68">SUM(IF('2014-2017 Projects'!$A$6:$A$277="Chief Operations Officer",'2014-2017 Projects'!$AG$6:$AG$277,0))</f>
        <v>0</v>
      </c>
      <c r="H68" s="143">
        <f t="array" ref="H68">SUM(IF('2014-2017 Projects'!$C$6:$C$252="8.14 - Security Services",'2014-2017 Projects'!$AK$6:$AK$252,0))</f>
        <v>2100000</v>
      </c>
      <c r="I68" s="143">
        <f t="array" ref="I68">SUM(IF('2014-2017 Projects'!$C$6:$C$252="8.14 - Security Services",'2014-2017 Projects'!$AM$6:$AM$252,0))</f>
        <v>3336101</v>
      </c>
      <c r="J68" s="143">
        <f t="array" ref="J68">SUM(IF('2014-2017 Projects'!$C$6:$C$252="8.14 - Security Services",'2014-2017 Projects'!$AN$6:$AN$252,0))</f>
        <v>0</v>
      </c>
      <c r="K68" s="143">
        <f t="array" ref="K68">SUM(IF('2014-2017 Projects'!$C$6:$C$252="8.14 - Security Services",'2014-2017 Projects'!$AP$6:$AP$252,0))</f>
        <v>0</v>
      </c>
      <c r="L68" s="143">
        <f t="array" ref="L68">SUM(IF('2014-2017 Projects'!$C$6:$C$252="8.14 - Security Services",'2014-2017 Projects'!$AQ$6:$AQ$252,0))</f>
        <v>761505.76</v>
      </c>
      <c r="M68" s="143">
        <f t="array" ref="M68">SUM(IF('2014-2017 Projects'!$C$6:$C$252="8.14 - Security Services",'2014-2017 Projects'!$AS$6:$AS$252,0))</f>
        <v>761505.76</v>
      </c>
      <c r="N68" s="143">
        <f t="array" ref="N68">SUM(IF('2014-2017 Projects'!$C$6:$C$252="8.14 - Security Services",'2014-2017 Projects'!$AT$6:$AT$252,0))</f>
        <v>-444544.6</v>
      </c>
      <c r="O68" s="143">
        <f t="array" ref="O68">SUM(IF('2014-2017 Projects'!$C$6:$C$252="8.14 - Security Services",'2014-2017 Projects'!$AV$6:$AV$252,0))</f>
        <v>-444544.6</v>
      </c>
      <c r="P68" s="143">
        <f t="array" ref="P68">SUM(IF('2014-2017 Projects'!$C$6:$C$252="8.14 - Security Services",'2014-2017 Projects'!$AW$6:$AW$252,0))</f>
        <v>177174.39</v>
      </c>
      <c r="Q68" s="143">
        <f t="array" ref="Q68">SUM(IF('2014-2017 Projects'!$C$6:$C$252="8.14 - Security Services",'2014-2017 Projects'!$AY$6:$AY$252,0))</f>
        <v>177174.39</v>
      </c>
      <c r="R68" s="143"/>
      <c r="S68" s="143"/>
      <c r="T68" s="143"/>
      <c r="U68" s="143"/>
      <c r="V68" s="143"/>
      <c r="W68" s="143"/>
      <c r="X68" s="143"/>
      <c r="Y68" s="143"/>
      <c r="Z68" s="143"/>
      <c r="AA68" s="143"/>
      <c r="AB68" s="143"/>
      <c r="AC68" s="143"/>
      <c r="AD68" s="143"/>
      <c r="AE68" s="143"/>
      <c r="AF68" s="143"/>
      <c r="AG68" s="143"/>
      <c r="AH68" s="143">
        <f t="array" ref="AH68">SUM(IF('2014-2017 Projects'!$C$6:$C$252="8.14 - Security Services",'2014-2017 Projects'!$BY$6:$BY$252,0))</f>
        <v>494135.55000000005</v>
      </c>
      <c r="AI68" s="143">
        <f t="array" ref="AI68">SUM(IF('2014-2017 Projects'!$C$6:$C$252="8.14 - Security Services",'2014-2017 Projects'!$BZ$6:$BZ$252,0))</f>
        <v>494135.55000000005</v>
      </c>
      <c r="AJ68" s="143">
        <f t="array" ref="AJ68">SUM(IF('2014-2017 Projects'!$C$6:$C$252="8.14 - Security Services",'2014-2017 Projects'!$BX$6:$BX$252,0))</f>
        <v>264891.42000000004</v>
      </c>
      <c r="AK68" s="143">
        <f t="shared" si="10"/>
        <v>2841965.45</v>
      </c>
      <c r="AL68" s="143">
        <f t="shared" si="11"/>
        <v>2841965.45</v>
      </c>
      <c r="AM68" s="390">
        <f t="shared" si="12"/>
        <v>0.23530264285714289</v>
      </c>
      <c r="AN68" s="390">
        <f t="shared" si="13"/>
        <v>0.23530264285714289</v>
      </c>
      <c r="AO68" s="156"/>
      <c r="AP68" s="156"/>
      <c r="AQ68" s="156"/>
      <c r="AR68" s="156"/>
      <c r="AS68" s="156"/>
      <c r="AT68" s="307"/>
      <c r="AU68" s="323"/>
      <c r="AV68" s="323"/>
      <c r="AW68" s="323"/>
      <c r="AX68" s="154"/>
    </row>
    <row r="69" spans="1:50" s="132" customFormat="1" x14ac:dyDescent="0.2">
      <c r="A69" s="169" t="s">
        <v>239</v>
      </c>
      <c r="B69" s="143">
        <f t="array" ref="B69">SUM(IF('2014-2017 Projects'!$A$6:$A$277="Financial Services",'2014-2017 Projects'!$AG$6:$AG$277,0))</f>
        <v>0</v>
      </c>
      <c r="C69" s="143">
        <f t="array" ref="C69">SUM(IF('2014-2017 Projects'!$A$6:$A$277="Financial Services",'2014-2017 Projects'!$AG$6:$AG$277,0))</f>
        <v>0</v>
      </c>
      <c r="D69" s="143">
        <f t="array" ref="D69">SUM(IF('2014-2017 Projects'!$A$6:$A$277="Financial Services",'2014-2017 Projects'!$AG$6:$AG$277,0))</f>
        <v>0</v>
      </c>
      <c r="E69" s="143">
        <f t="array" ref="E69">SUM(IF('2014-2017 Projects'!$A$6:$A$277="Financial Services",'2014-2017 Projects'!$AH$6:$AH$277,0))</f>
        <v>0</v>
      </c>
      <c r="F69" s="143">
        <f t="array" ref="F69">SUM(IF('2014-2017 Projects'!$A$6:$A$277="Financial Services",'2014-2017 Projects'!$AI$6:$AI$277,0))</f>
        <v>0</v>
      </c>
      <c r="G69" s="143"/>
      <c r="H69" s="143">
        <f t="array" ref="H69">SUM(IF('2014-2017 Projects'!$C$6:$C$252="8.15 - Traffic Administration",'2014-2017 Projects'!$AK$6:$AK$252,0))</f>
        <v>0</v>
      </c>
      <c r="I69" s="143">
        <f t="array" ref="I69">SUM(IF('2014-2017 Projects'!$C$6:$C$252="8.15 - Traffic Administration",'2014-2017 Projects'!$AM$6:$AM$252,0))</f>
        <v>0</v>
      </c>
      <c r="J69" s="143">
        <f t="array" ref="J69">SUM(IF('2014-2017 Projects'!$C$6:$C$252="8.15 - Traffic Administration",'2014-2017 Projects'!$AN$6:$AN$252,0))</f>
        <v>0</v>
      </c>
      <c r="K69" s="143">
        <f t="array" ref="K69">SUM(IF('2014-2017 Projects'!$C$6:$C$252="8.15 - Traffic Administration",'2014-2017 Projects'!$AP$6:$AP$252,0))</f>
        <v>0</v>
      </c>
      <c r="L69" s="143">
        <f t="array" ref="L69">SUM(IF('2014-2017 Projects'!$C$6:$C$252="8.15 - Traffic Administration",'2014-2017 Projects'!$AQ$6:$AQ$252,0))</f>
        <v>0</v>
      </c>
      <c r="M69" s="143">
        <f t="array" ref="M69">SUM(IF('2014-2017 Projects'!$C$6:$C$252="8.15 - Traffic Administration",'2014-2017 Projects'!$AS$6:$AS$252,0))</f>
        <v>0</v>
      </c>
      <c r="N69" s="143">
        <f t="array" ref="N69">SUM(IF('2014-2017 Projects'!$C$6:$C$252="8.15 - Traffic Administration",'2014-2017 Projects'!$AT$6:$AT$252,0))</f>
        <v>0</v>
      </c>
      <c r="O69" s="143">
        <f t="array" ref="O69">SUM(IF('2014-2017 Projects'!$C$6:$C$252="8.15 - Traffic Administration",'2014-2017 Projects'!$AV$6:$AV$252,0))</f>
        <v>0</v>
      </c>
      <c r="P69" s="143">
        <f t="array" ref="P69">SUM(IF('2014-2017 Projects'!$C$6:$C$252="8.15 - Traffic Administration",'2014-2017 Projects'!$AW$6:$AW$252,0))</f>
        <v>0</v>
      </c>
      <c r="Q69" s="143">
        <f t="array" ref="Q69">SUM(IF('2014-2017 Projects'!$C$6:$C$252="8.15 - Traffic Administration",'2014-2017 Projects'!$AY$6:$AY$252,0))</f>
        <v>0</v>
      </c>
      <c r="R69" s="143"/>
      <c r="S69" s="143"/>
      <c r="T69" s="143"/>
      <c r="U69" s="143"/>
      <c r="V69" s="143"/>
      <c r="W69" s="143"/>
      <c r="X69" s="143"/>
      <c r="Y69" s="143"/>
      <c r="Z69" s="143"/>
      <c r="AA69" s="143"/>
      <c r="AB69" s="143"/>
      <c r="AC69" s="143"/>
      <c r="AD69" s="143"/>
      <c r="AE69" s="143"/>
      <c r="AF69" s="143"/>
      <c r="AG69" s="143"/>
      <c r="AH69" s="143">
        <f t="array" ref="AH69">SUM(IF('2014-2017 Projects'!$C$6:$C$252="8.15 - Traffic Administration",'2014-2017 Projects'!$BY$6:$BY$252,0))</f>
        <v>0</v>
      </c>
      <c r="AI69" s="143">
        <f t="array" ref="AI69">SUM(IF('2014-2017 Projects'!$C$6:$C$252="8.15 - Traffic Administration",'2014-2017 Projects'!$BZ$6:$BZ$252,0))</f>
        <v>0</v>
      </c>
      <c r="AJ69" s="143">
        <f t="array" ref="AJ69">SUM(IF('2014-2017 Projects'!$C$6:$C$252="8.15 - Traffic Administration",'2014-2017 Projects'!$BX$6:$BX$252,0))</f>
        <v>0</v>
      </c>
      <c r="AK69" s="143">
        <f t="shared" si="10"/>
        <v>0</v>
      </c>
      <c r="AL69" s="143">
        <f t="shared" si="11"/>
        <v>0</v>
      </c>
      <c r="AM69" s="390" t="e">
        <f t="shared" si="12"/>
        <v>#DIV/0!</v>
      </c>
      <c r="AN69" s="390" t="e">
        <f t="shared" si="13"/>
        <v>#DIV/0!</v>
      </c>
      <c r="AO69" s="156"/>
      <c r="AP69" s="156"/>
      <c r="AQ69" s="156"/>
      <c r="AR69" s="156"/>
      <c r="AS69" s="156"/>
      <c r="AT69" s="307"/>
      <c r="AU69" s="323"/>
      <c r="AV69" s="323"/>
      <c r="AW69" s="323"/>
      <c r="AX69" s="154"/>
    </row>
    <row r="70" spans="1:50" s="132" customFormat="1" x14ac:dyDescent="0.2">
      <c r="A70" s="169" t="s">
        <v>652</v>
      </c>
      <c r="B70" s="143"/>
      <c r="C70" s="143"/>
      <c r="D70" s="143"/>
      <c r="E70" s="143"/>
      <c r="F70" s="143"/>
      <c r="G70" s="143"/>
      <c r="H70" s="143">
        <f t="array" ref="H70">SUM(IF('2014-2017 Projects'!$C$6:$C$252="8.16 - Traffic Control",'2014-2017 Projects'!$AK$6:$AK$252,0))</f>
        <v>3200000</v>
      </c>
      <c r="I70" s="143">
        <f t="array" ref="I70">SUM(IF('2014-2017 Projects'!$C$6:$C$252="8.16 - Traffic Control",'2014-2017 Projects'!$AM$6:$AM$252,0))</f>
        <v>3200000</v>
      </c>
      <c r="J70" s="143">
        <f t="array" ref="J70">SUM(IF('2014-2017 Projects'!$C$6:$C$252="8.16 - Traffic Control",'2014-2017 Projects'!$AN$6:$AN$252,0))</f>
        <v>1102.6300000000001</v>
      </c>
      <c r="K70" s="143">
        <f t="array" ref="K70">SUM(IF('2014-2017 Projects'!$C$6:$C$252="8.16 - Traffic Control",'2014-2017 Projects'!$AP$6:$AP$252,0))</f>
        <v>1102.6300000000001</v>
      </c>
      <c r="L70" s="143">
        <f t="array" ref="L70">SUM(IF('2014-2017 Projects'!$C$6:$C$252="8.16 - Traffic Control",'2014-2017 Projects'!$AQ$6:$AQ$252,0))</f>
        <v>0</v>
      </c>
      <c r="M70" s="143">
        <f t="array" ref="M70">SUM(IF('2014-2017 Projects'!$C$6:$C$252="8.16 - Traffic Control",'2014-2017 Projects'!$AS$6:$AS$252,0))</f>
        <v>0</v>
      </c>
      <c r="N70" s="143">
        <f t="array" ref="N70">SUM(IF('2014-2017 Projects'!$C$6:$C$252="8.16 - Traffic Control",'2014-2017 Projects'!$AT$6:$AT$252,0))</f>
        <v>0</v>
      </c>
      <c r="O70" s="143">
        <f t="array" ref="O70">SUM(IF('2014-2017 Projects'!$C$6:$C$252="8.16 - Traffic Control",'2014-2017 Projects'!$AV$6:$AV$252,0))</f>
        <v>0</v>
      </c>
      <c r="P70" s="143">
        <f t="array" ref="P70">SUM(IF('2014-2017 Projects'!$C$6:$C$252="8.16 - Traffic Control",'2014-2017 Projects'!$AW$6:$AW$252,0))</f>
        <v>0</v>
      </c>
      <c r="Q70" s="143">
        <f t="array" ref="Q70">SUM(IF('2014-2017 Projects'!$C$6:$C$252="8.16 - Traffic Control",'2014-2017 Projects'!$AY$6:$AY$252,0))</f>
        <v>0</v>
      </c>
      <c r="R70" s="143"/>
      <c r="S70" s="143"/>
      <c r="T70" s="143"/>
      <c r="U70" s="143"/>
      <c r="V70" s="143"/>
      <c r="W70" s="143"/>
      <c r="X70" s="143"/>
      <c r="Y70" s="143"/>
      <c r="Z70" s="143"/>
      <c r="AA70" s="143"/>
      <c r="AB70" s="143"/>
      <c r="AC70" s="143"/>
      <c r="AD70" s="143"/>
      <c r="AE70" s="143"/>
      <c r="AF70" s="143"/>
      <c r="AG70" s="143"/>
      <c r="AH70" s="143">
        <f t="array" ref="AH70">SUM(IF('2014-2017 Projects'!$C$6:$C$252="8.16 - Traffic Control",'2014-2017 Projects'!$BY$6:$BY$252,0))</f>
        <v>1102.6300000000001</v>
      </c>
      <c r="AI70" s="143">
        <f t="array" ref="AI70">SUM(IF('2014-2017 Projects'!$C$6:$C$252="8.16 - Traffic Control",'2014-2017 Projects'!$BZ$6:$BZ$252,0))</f>
        <v>1102.6300000000001</v>
      </c>
      <c r="AJ70" s="143">
        <f t="array" ref="AJ70">SUM(IF('2014-2017 Projects'!$C$6:$C$252="8.16 - Traffic Control",'2014-2017 Projects'!$BX$6:$BX$252,0))</f>
        <v>2069735</v>
      </c>
      <c r="AK70" s="143">
        <f t="shared" si="10"/>
        <v>3198897.37</v>
      </c>
      <c r="AL70" s="143">
        <f t="shared" si="11"/>
        <v>3198897.37</v>
      </c>
      <c r="AM70" s="390">
        <f t="shared" ref="AM70" si="36">AH70/H70</f>
        <v>3.4457187500000003E-4</v>
      </c>
      <c r="AN70" s="390">
        <f t="shared" ref="AN70" si="37">AI70/H70</f>
        <v>3.4457187500000003E-4</v>
      </c>
      <c r="AO70" s="156"/>
      <c r="AP70" s="156"/>
      <c r="AQ70" s="156"/>
      <c r="AR70" s="156"/>
      <c r="AS70" s="156"/>
      <c r="AT70" s="307"/>
      <c r="AU70" s="323"/>
      <c r="AV70" s="323"/>
      <c r="AW70" s="323"/>
      <c r="AX70" s="154"/>
    </row>
    <row r="71" spans="1:50" s="132" customFormat="1" x14ac:dyDescent="0.2">
      <c r="A71" s="169" t="s">
        <v>638</v>
      </c>
      <c r="B71" s="143">
        <f t="array" ref="B71">SUM(IF('2014-2017 Projects'!$A$6:$A$277="Corporate Services",'2014-2017 Projects'!$AG$6:$AG$277,0))</f>
        <v>6600000</v>
      </c>
      <c r="C71" s="143">
        <f t="array" ref="C71">SUM(IF('2014-2017 Projects'!$A$6:$A$277="Corporate Services",'2014-2017 Projects'!$AG$6:$AG$277,0))</f>
        <v>6600000</v>
      </c>
      <c r="D71" s="143">
        <f t="array" ref="D71">SUM(IF('2014-2017 Projects'!$A$6:$A$277="Corporate Services",'2014-2017 Projects'!$AG$6:$AG$277,0))</f>
        <v>6600000</v>
      </c>
      <c r="E71" s="143">
        <f t="array" ref="E71">SUM(IF('2014-2017 Projects'!$A$6:$A$277="Corporate Services",'2014-2017 Projects'!$AH$6:$AH$277,0))</f>
        <v>0</v>
      </c>
      <c r="F71" s="143">
        <f t="array" ref="F71">SUM(IF('2014-2017 Projects'!$A$6:$A$277="Corporate Services",'2014-2017 Projects'!$AI$6:$AI$277,0))</f>
        <v>6600000</v>
      </c>
      <c r="G71" s="143"/>
      <c r="H71" s="143">
        <f t="array" ref="H71">SUM(IF('2014-2017 Projects'!$C$6:$C$252="8.18 - Vehicle Test Station / Examination",'2014-2017 Projects'!$AK$6:$AK$252,0))</f>
        <v>0</v>
      </c>
      <c r="I71" s="143">
        <f t="array" ref="I71">SUM(IF('2014-2017 Projects'!$C$6:$C$252="8.18 - Vehicle Test Station / Examination",'2014-2017 Projects'!$AM$6:$AM$252,0))</f>
        <v>798970</v>
      </c>
      <c r="J71" s="143">
        <f t="array" ref="J71">SUM(IF('2014-2017 Projects'!$C$6:$C$252="8.18 - Vehicle Test Station / Examination",'2014-2017 Projects'!$AN$6:$AN$252,0))</f>
        <v>0</v>
      </c>
      <c r="K71" s="143">
        <f t="array" ref="K71">SUM(IF('2014-2017 Projects'!$C$6:$C$252="8.18 - Vehicle Test Station / Examination",'2014-2017 Projects'!$AP$6:$AP$252,0))</f>
        <v>0</v>
      </c>
      <c r="L71" s="143">
        <f t="array" ref="L71">SUM(IF('2014-2017 Projects'!$C$6:$C$252="8.18 - Vehicle Test Station / Examination",'2014-2017 Projects'!$AQ$6:$AQ$252,0))</f>
        <v>0</v>
      </c>
      <c r="M71" s="143">
        <f t="array" ref="M71">SUM(IF('2014-2017 Projects'!$C$6:$C$252="8.18 - Vehicle Test Station / Examination",'2014-2017 Projects'!$AS$6:$AS$252,0))</f>
        <v>0</v>
      </c>
      <c r="N71" s="143">
        <f t="array" ref="N71">SUM(IF('2014-2017 Projects'!$C$6:$C$252="8.18 - Vehicle Test Station / Examination",'2014-2017 Projects'!$AT$6:$AT$252,0))</f>
        <v>366421.75</v>
      </c>
      <c r="O71" s="143">
        <f t="array" ref="O71">SUM(IF('2014-2017 Projects'!$C$6:$C$252="8.18 - Vehicle Test Station / Examination",'2014-2017 Projects'!$AV$6:$AV$252,0))</f>
        <v>366421.75</v>
      </c>
      <c r="P71" s="143">
        <f t="array" ref="P71">SUM(IF('2014-2017 Projects'!$C$6:$C$252="8.18 - Vehicle Test Station / Examination",'2014-2017 Projects'!$AW$6:$AW$252,0))</f>
        <v>0</v>
      </c>
      <c r="Q71" s="143">
        <f t="array" ref="Q71">SUM(IF('2014-2017 Projects'!$C$6:$C$252="8.18 - Vehicle Test Station / Examination",'2014-2017 Projects'!$AY$6:$AY$252,0))</f>
        <v>0</v>
      </c>
      <c r="R71" s="143"/>
      <c r="S71" s="143"/>
      <c r="T71" s="143"/>
      <c r="U71" s="143"/>
      <c r="V71" s="143"/>
      <c r="W71" s="143"/>
      <c r="X71" s="143"/>
      <c r="Y71" s="143"/>
      <c r="Z71" s="143"/>
      <c r="AA71" s="143"/>
      <c r="AB71" s="143"/>
      <c r="AC71" s="143"/>
      <c r="AD71" s="143"/>
      <c r="AE71" s="143"/>
      <c r="AF71" s="143"/>
      <c r="AG71" s="143"/>
      <c r="AH71" s="143">
        <f t="array" ref="AH71">SUM(IF('2014-2017 Projects'!$C$6:$C$252="8.18 - Vehicle Test Station / Examination",'2014-2017 Projects'!$BY$6:$BY$252,0))</f>
        <v>366421.75</v>
      </c>
      <c r="AI71" s="143">
        <f t="array" ref="AI71">SUM(IF('2014-2017 Projects'!$C$6:$C$252="8.18 - Vehicle Test Station / Examination",'2014-2017 Projects'!$BZ$6:$BZ$252,0))</f>
        <v>366421.75</v>
      </c>
      <c r="AJ71" s="143">
        <f t="array" ref="AJ71">SUM(IF('2014-2017 Projects'!$C$6:$C$252="8.18 - Vehicle Test Station / Examination",'2014-2017 Projects'!$BX$6:$BX$252,0))</f>
        <v>199821</v>
      </c>
      <c r="AK71" s="143">
        <f t="shared" si="10"/>
        <v>432548.25</v>
      </c>
      <c r="AL71" s="143">
        <f t="shared" si="11"/>
        <v>432548.25</v>
      </c>
      <c r="AM71" s="390" t="e">
        <f t="shared" si="12"/>
        <v>#DIV/0!</v>
      </c>
      <c r="AN71" s="390" t="e">
        <f t="shared" si="13"/>
        <v>#DIV/0!</v>
      </c>
      <c r="AO71" s="156"/>
      <c r="AP71" s="156"/>
      <c r="AQ71" s="156"/>
      <c r="AR71" s="156"/>
      <c r="AS71" s="156"/>
      <c r="AT71" s="307"/>
      <c r="AU71" s="323"/>
      <c r="AV71" s="323"/>
      <c r="AW71" s="323"/>
      <c r="AX71" s="154"/>
    </row>
    <row r="72" spans="1:50" s="132" customFormat="1" x14ac:dyDescent="0.2">
      <c r="A72" s="169" t="s">
        <v>682</v>
      </c>
      <c r="B72" s="143"/>
      <c r="C72" s="143"/>
      <c r="D72" s="143"/>
      <c r="E72" s="143"/>
      <c r="F72" s="143"/>
      <c r="G72" s="143"/>
      <c r="H72" s="143">
        <f t="array" ref="H72">SUM(IF('2014-2017 Projects'!$C$6:$C$252="8.23 - Disaster Management",'2014-2017 Projects'!$AK$6:$AK$252,0))</f>
        <v>0</v>
      </c>
      <c r="I72" s="143">
        <f t="array" ref="I72">SUM(IF('2014-2017 Projects'!$C$6:$C$252="8.23 - Disaster Management",'2014-2017 Projects'!$AM$6:$AM$252,0))</f>
        <v>0</v>
      </c>
      <c r="J72" s="143">
        <f t="array" ref="J72">SUM(IF('2014-2017 Projects'!$C$6:$C$252="8.23 - Disaster Management",'2014-2017 Projects'!$AN$6:$AN$252,0))</f>
        <v>0</v>
      </c>
      <c r="K72" s="143">
        <f t="array" ref="K72">SUM(IF('2014-2017 Projects'!$C$6:$C$252="8.23 - Disaster Management",'2014-2017 Projects'!$AP$6:$AP$252,0))</f>
        <v>0</v>
      </c>
      <c r="L72" s="143">
        <f t="array" ref="L72">SUM(IF('2014-2017 Projects'!$C$6:$C$252="8.23 - Disaster Management",'2014-2017 Projects'!$AQ$6:$AQ$252,0))</f>
        <v>0</v>
      </c>
      <c r="M72" s="143">
        <f t="array" ref="M72">SUM(IF('2014-2017 Projects'!$C$6:$C$252="8.23 - Disaster Management",'2014-2017 Projects'!$AS$6:$AS$252,0))</f>
        <v>0</v>
      </c>
      <c r="N72" s="143">
        <f t="array" ref="N72">SUM(IF('2014-2017 Projects'!$C$6:$C$252="8.23 - Disaster Management",'2014-2017 Projects'!$AT$6:$AT$252,0))</f>
        <v>0</v>
      </c>
      <c r="O72" s="143">
        <f t="array" ref="O72">SUM(IF('2014-2017 Projects'!$C$6:$C$252="8.23 - Disaster Management",'2014-2017 Projects'!$AV$6:$AV$252,0))</f>
        <v>0</v>
      </c>
      <c r="P72" s="143">
        <f t="array" ref="P72">SUM(IF('2014-2017 Projects'!$C$6:$C$252="8.23 - Disaster Management",'2014-2017 Projects'!$AW$6:$AW$252,0))</f>
        <v>0</v>
      </c>
      <c r="Q72" s="143">
        <f t="array" ref="Q72">SUM(IF('2014-2017 Projects'!$C$6:$C$252="8.23 - Disaster Management",'2014-2017 Projects'!$AY$6:$AY$252,0))</f>
        <v>0</v>
      </c>
      <c r="R72" s="143"/>
      <c r="S72" s="143"/>
      <c r="T72" s="143"/>
      <c r="U72" s="143"/>
      <c r="V72" s="143"/>
      <c r="W72" s="143"/>
      <c r="X72" s="143"/>
      <c r="Y72" s="143"/>
      <c r="Z72" s="143"/>
      <c r="AA72" s="143"/>
      <c r="AB72" s="143"/>
      <c r="AC72" s="143"/>
      <c r="AD72" s="143"/>
      <c r="AE72" s="143"/>
      <c r="AF72" s="143"/>
      <c r="AG72" s="143"/>
      <c r="AH72" s="143">
        <f t="array" ref="AH72">SUM(IF('2014-2017 Projects'!$C$6:$C$252="8.23 - Disaster Management",'2014-2017 Projects'!$BY$6:$BY$252,0))</f>
        <v>0</v>
      </c>
      <c r="AI72" s="143">
        <f t="array" ref="AI72">SUM(IF('2014-2017 Projects'!$C$6:$C$252="8.23 - Disaster Management",'2014-2017 Projects'!$BZ$6:$BZ$252,0))</f>
        <v>0</v>
      </c>
      <c r="AJ72" s="143">
        <f t="array" ref="AJ72">SUM(IF('2014-2017 Projects'!$C$6:$C$252="8.23 - Disaster Management",'2014-2017 Projects'!$BX$6:$BX$252,0))</f>
        <v>0</v>
      </c>
      <c r="AK72" s="143">
        <f t="shared" si="10"/>
        <v>0</v>
      </c>
      <c r="AL72" s="143">
        <f t="shared" si="11"/>
        <v>0</v>
      </c>
      <c r="AM72" s="390" t="e">
        <f t="shared" si="12"/>
        <v>#DIV/0!</v>
      </c>
      <c r="AN72" s="390" t="e">
        <f t="shared" si="13"/>
        <v>#DIV/0!</v>
      </c>
      <c r="AO72" s="156"/>
      <c r="AP72" s="156"/>
      <c r="AQ72" s="156"/>
      <c r="AR72" s="156"/>
      <c r="AS72" s="156"/>
      <c r="AT72" s="307"/>
      <c r="AU72" s="323"/>
      <c r="AV72" s="323"/>
      <c r="AW72" s="323"/>
      <c r="AX72" s="154"/>
    </row>
    <row r="73" spans="1:50" s="132" customFormat="1" x14ac:dyDescent="0.2">
      <c r="A73" s="169" t="s">
        <v>653</v>
      </c>
      <c r="B73" s="143"/>
      <c r="C73" s="143"/>
      <c r="D73" s="143"/>
      <c r="E73" s="143"/>
      <c r="F73" s="143"/>
      <c r="G73" s="143"/>
      <c r="H73" s="143">
        <f t="array" ref="H73">SUM(IF('2014-2017 Projects'!$C$6:$C$252="9.1 - Office of The Director of Community Services",'2014-2017 Projects'!$AK$6:$AK$252,0))</f>
        <v>500000</v>
      </c>
      <c r="I73" s="143">
        <f t="array" ref="I73">SUM(IF('2014-2017 Projects'!$C$6:$C$252="9.1 - Office of The Director of Community Services",'2014-2017 Projects'!$AM$6:$AM$252,0))</f>
        <v>500000</v>
      </c>
      <c r="J73" s="143">
        <f t="array" ref="J73">SUM(IF('2014-2017 Projects'!$C$6:$C$252="9.1 - Office of The Director of Community Services",'2014-2017 Projects'!$AN$6:$AN$252,0))</f>
        <v>0</v>
      </c>
      <c r="K73" s="143">
        <f t="array" ref="K73">SUM(IF('2014-2017 Projects'!$C$6:$C$252="9.1 - Office of The Director of Community Services",'2014-2017 Projects'!$AP$6:$AP$252,0))</f>
        <v>0</v>
      </c>
      <c r="L73" s="143">
        <f t="array" ref="L73">SUM(IF('2014-2017 Projects'!$C$6:$C$252="9.1 - Office of The Director of Community Services",'2014-2017 Projects'!$AQ$6:$AQ$252,0))</f>
        <v>0</v>
      </c>
      <c r="M73" s="143">
        <f t="array" ref="M73">SUM(IF('2014-2017 Projects'!$C$6:$C$252="9.1 - Office of The Director of Community Services",'2014-2017 Projects'!$AS$6:$AS$252,0))</f>
        <v>0</v>
      </c>
      <c r="N73" s="143">
        <f t="array" ref="N73">SUM(IF('2014-2017 Projects'!$C$6:$C$252="9.1 - Office of The Director of Community Services",'2014-2017 Projects'!$AT$6:$AT$252,0))</f>
        <v>0</v>
      </c>
      <c r="O73" s="143">
        <f t="array" ref="O73">SUM(IF('2014-2017 Projects'!$C$6:$C$252="9.1 - Office of The Director of Community Services",'2014-2017 Projects'!$AV$6:$AV$252,0))</f>
        <v>0</v>
      </c>
      <c r="P73" s="143">
        <f t="array" ref="P73">SUM(IF('2014-2017 Projects'!$C$6:$C$252="9.1 - Office of The Director of Community Services",'2014-2017 Projects'!$AW$6:$AW$252,0))</f>
        <v>0</v>
      </c>
      <c r="Q73" s="143">
        <f t="array" ref="Q73">SUM(IF('2014-2017 Projects'!$C$6:$C$252="9.1 - Office of The Director of Community Services",'2014-2017 Projects'!$AY$6:$AY$252,0))</f>
        <v>0</v>
      </c>
      <c r="R73" s="143"/>
      <c r="S73" s="143"/>
      <c r="T73" s="143"/>
      <c r="U73" s="143"/>
      <c r="V73" s="143"/>
      <c r="W73" s="143"/>
      <c r="X73" s="143"/>
      <c r="Y73" s="143"/>
      <c r="Z73" s="143"/>
      <c r="AA73" s="143"/>
      <c r="AB73" s="143"/>
      <c r="AC73" s="143"/>
      <c r="AD73" s="143"/>
      <c r="AE73" s="143"/>
      <c r="AF73" s="143"/>
      <c r="AG73" s="143"/>
      <c r="AH73" s="143">
        <f t="array" ref="AH73">SUM(IF('2014-2017 Projects'!$C$6:$C$252="9.1 - Office of The Director of Community Services",'2014-2017 Projects'!$BY$6:$BY$252,0))</f>
        <v>0</v>
      </c>
      <c r="AI73" s="143">
        <f t="array" ref="AI73">SUM(IF('2014-2017 Projects'!$C$6:$C$252="9.1 - Office of The Director of Community Services",'2014-2017 Projects'!$BZ$6:$BZ$252,0))</f>
        <v>0</v>
      </c>
      <c r="AJ73" s="143">
        <f t="array" ref="AJ73">SUM(IF('2014-2017 Projects'!$C$6:$C$252="9.1 - Office of The Director of Community Services",'2014-2017 Projects'!$BX$6:$BX$252,0))</f>
        <v>44801.23</v>
      </c>
      <c r="AK73" s="143">
        <f t="shared" si="10"/>
        <v>500000</v>
      </c>
      <c r="AL73" s="143">
        <f t="shared" si="11"/>
        <v>500000</v>
      </c>
      <c r="AM73" s="390">
        <f t="shared" ref="AM73" si="38">AH73/H73</f>
        <v>0</v>
      </c>
      <c r="AN73" s="390">
        <f t="shared" ref="AN73" si="39">AI73/H73</f>
        <v>0</v>
      </c>
      <c r="AO73" s="156"/>
      <c r="AP73" s="156"/>
      <c r="AQ73" s="156"/>
      <c r="AR73" s="156"/>
      <c r="AS73" s="156"/>
      <c r="AT73" s="307"/>
      <c r="AU73" s="323"/>
      <c r="AV73" s="323"/>
      <c r="AW73" s="323"/>
      <c r="AX73" s="154"/>
    </row>
    <row r="74" spans="1:50" s="132" customFormat="1" x14ac:dyDescent="0.2">
      <c r="A74" s="169" t="s">
        <v>240</v>
      </c>
      <c r="B74" s="143">
        <f t="array" ref="B74">SUM(IF('2014-2017 Projects'!$A$6:$A$277="Corporate Services",'2014-2017 Projects'!$AG$6:$AG$277,0))</f>
        <v>6600000</v>
      </c>
      <c r="C74" s="143">
        <f t="array" ref="C74">SUM(IF('2014-2017 Projects'!$A$6:$A$277="Corporate Services",'2014-2017 Projects'!$AG$6:$AG$277,0))</f>
        <v>6600000</v>
      </c>
      <c r="D74" s="143">
        <f t="array" ref="D74">SUM(IF('2014-2017 Projects'!$A$6:$A$277="Corporate Services",'2014-2017 Projects'!$AG$6:$AG$277,0))</f>
        <v>6600000</v>
      </c>
      <c r="E74" s="143">
        <f t="array" ref="E74">SUM(IF('2014-2017 Projects'!$A$6:$A$277="Corporate Services",'2014-2017 Projects'!$AH$6:$AH$277,0))</f>
        <v>0</v>
      </c>
      <c r="F74" s="143">
        <f t="array" ref="F74">SUM(IF('2014-2017 Projects'!$A$6:$A$277="Corporate Services",'2014-2017 Projects'!$AI$6:$AI$277,0))</f>
        <v>6600000</v>
      </c>
      <c r="G74" s="143"/>
      <c r="H74" s="143">
        <f t="array" ref="H74">SUM(IF('2014-2017 Projects'!$A$6:$A$252="9.16 - Sportsfields",'2014-2017 Projects'!$AK$6:$AK$252,0))</f>
        <v>0</v>
      </c>
      <c r="I74" s="143">
        <f t="array" ref="I74">SUM(IF('2014-2017 Projects'!$A$6:$A$252="9.16 - Sportsfields",'2014-2017 Projects'!$AM$6:$AM$252,0))</f>
        <v>0</v>
      </c>
      <c r="J74" s="143">
        <f t="array" ref="J74">SUM(IF('2014-2017 Projects'!$C$6:$C$252="9.2 - Cleansing Administration Support",'2014-2017 Projects'!$AN$6:$AN$252,0))</f>
        <v>0</v>
      </c>
      <c r="K74" s="143">
        <f t="array" ref="K74">SUM(IF('2014-2017 Projects'!$C$6:$C$252="9.2 - Cleansing Administration Support",'2014-2017 Projects'!$AP$6:$AP$252,0))</f>
        <v>0</v>
      </c>
      <c r="L74" s="143">
        <f t="array" ref="L74">SUM(IF('2014-2017 Projects'!$C$6:$C$252="9.2 - Cleansing Administration Support",'2014-2017 Projects'!$AQ$6:$AQ$252,0))</f>
        <v>0</v>
      </c>
      <c r="M74" s="143">
        <f t="array" ref="M74">SUM(IF('2014-2017 Projects'!$C$6:$C$252="9.2 - Cleansing Administration Support",'2014-2017 Projects'!$AS$6:$AS$252,0))</f>
        <v>0</v>
      </c>
      <c r="N74" s="143">
        <f t="array" ref="N74">SUM(IF('2014-2017 Projects'!$A$6:$A$252="9.16 - Sportsfields",'2014-2017 Projects'!$AT$6:$AT$252,0))</f>
        <v>0</v>
      </c>
      <c r="O74" s="143">
        <f t="array" ref="O74">SUM(IF('2014-2017 Projects'!$A$6:$A$252="9.16 - Sportsfields",'2014-2017 Projects'!$AV$6:$AV$252,0))</f>
        <v>0</v>
      </c>
      <c r="P74" s="143">
        <f t="array" ref="P74">SUM(IF('2014-2017 Projects'!$A$6:$A$252="9.16 - Sportsfields",'2014-2017 Projects'!$AW$6:$AW$252,0))</f>
        <v>0</v>
      </c>
      <c r="Q74" s="143">
        <f t="array" ref="Q74">SUM(IF('2014-2017 Projects'!$A$6:$A$252="9.16 - Sportsfields",'2014-2017 Projects'!$AY$6:$AY$252,0))</f>
        <v>0</v>
      </c>
      <c r="R74" s="143"/>
      <c r="S74" s="143"/>
      <c r="T74" s="143"/>
      <c r="U74" s="143"/>
      <c r="V74" s="143"/>
      <c r="W74" s="143"/>
      <c r="X74" s="143"/>
      <c r="Y74" s="143"/>
      <c r="Z74" s="143"/>
      <c r="AA74" s="143"/>
      <c r="AB74" s="143"/>
      <c r="AC74" s="143"/>
      <c r="AD74" s="143"/>
      <c r="AE74" s="143"/>
      <c r="AF74" s="143"/>
      <c r="AG74" s="143"/>
      <c r="AH74" s="143">
        <f t="array" ref="AH74">SUM(IF('2014-2017 Projects'!$C$6:$C$252="9.2 - Cleansing Administration Support",'2014-2017 Projects'!$BY$6:$BY$252,0))</f>
        <v>0</v>
      </c>
      <c r="AI74" s="143">
        <f t="array" ref="AI74">SUM(IF('2014-2017 Projects'!$C$6:$C$252="9.2 - Cleansing Administration Support",'2014-2017 Projects'!$BZ$6:$BZ$252,0))</f>
        <v>0</v>
      </c>
      <c r="AJ74" s="143">
        <f t="array" ref="AJ74">SUM(IF('2014-2017 Projects'!$C$6:$C$252="9.2 - Cleansing Administration Support",'2014-2017 Projects'!$BX$6:$BX$252,0))</f>
        <v>0</v>
      </c>
      <c r="AK74" s="143">
        <f t="shared" si="10"/>
        <v>0</v>
      </c>
      <c r="AL74" s="143">
        <f t="shared" si="11"/>
        <v>0</v>
      </c>
      <c r="AM74" s="390" t="e">
        <f t="shared" si="12"/>
        <v>#DIV/0!</v>
      </c>
      <c r="AN74" s="390" t="e">
        <f t="shared" si="13"/>
        <v>#DIV/0!</v>
      </c>
      <c r="AO74" s="156"/>
      <c r="AP74" s="156"/>
      <c r="AQ74" s="156"/>
      <c r="AR74" s="156"/>
      <c r="AS74" s="156"/>
      <c r="AT74" s="307"/>
      <c r="AU74" s="323"/>
      <c r="AV74" s="323"/>
      <c r="AW74" s="323"/>
      <c r="AX74" s="154"/>
    </row>
    <row r="75" spans="1:50" s="132" customFormat="1" x14ac:dyDescent="0.2">
      <c r="A75" s="169" t="s">
        <v>640</v>
      </c>
      <c r="B75" s="143">
        <f t="array" ref="B75">SUM(IF('2014-2017 Projects'!$A$6:$A$298="Municipal Manager's Office",'2014-2017 Projects'!$AG$6:$AG$298,0))</f>
        <v>12750000</v>
      </c>
      <c r="C75" s="143">
        <f t="array" ref="C75">SUM(IF('2014-2017 Projects'!$A$6:$A$298="Municipal Manager's Office",'2014-2017 Projects'!$AG$6:$AG$298,0))</f>
        <v>12750000</v>
      </c>
      <c r="D75" s="143">
        <f t="array" ref="D75">SUM(IF('2014-2017 Projects'!$A$6:$A$298="Municipal Manager's Office",'2014-2017 Projects'!$AG$6:$AG$298,0))</f>
        <v>12750000</v>
      </c>
      <c r="E75" s="143">
        <f t="array" ref="E75">SUM(IF('2014-2017 Projects'!$A$6:$A$298="Municipal Manager's Office",'2014-2017 Projects'!$AH$6:$AH$298,0))</f>
        <v>-10000000</v>
      </c>
      <c r="F75" s="143">
        <f t="array" ref="F75">SUM(IF('2014-2017 Projects'!$A$6:$A$298="Municipal Manager's Office",'2014-2017 Projects'!$AI$6:$AI$298,0))</f>
        <v>2750000</v>
      </c>
      <c r="G75" s="143"/>
      <c r="H75" s="143">
        <f t="array" ref="H75">SUM(IF('2014-2017 Projects'!$C$6:$C$252="9.4 - Environmental Services",'2014-2017 Projects'!$AK$6:$AK$252,0))</f>
        <v>2000000</v>
      </c>
      <c r="I75" s="143">
        <f t="array" ref="I75">SUM(IF('2014-2017 Projects'!$C$6:$C$252="9.4 - Environmental Services",'2014-2017 Projects'!$AM$6:$AM$252,0))</f>
        <v>2000000</v>
      </c>
      <c r="J75" s="143">
        <f t="array" ref="J75">SUM(IF('2014-2017 Projects'!$C$6:$C$252="9.4 - Environmental Services",'2014-2017 Projects'!$AN$6:$AN$252,0))</f>
        <v>0</v>
      </c>
      <c r="K75" s="143">
        <f t="array" ref="K75">SUM(IF('2014-2017 Projects'!$C$6:$C$252="9.4 - Environmental Services",'2014-2017 Projects'!$AP$6:$AP$252,0))</f>
        <v>0</v>
      </c>
      <c r="L75" s="143">
        <f t="array" ref="L75">SUM(IF('2014-2017 Projects'!$C$6:$C$252="9.4 - Environmental Services",'2014-2017 Projects'!$AQ$6:$AQ$252,0))</f>
        <v>0</v>
      </c>
      <c r="M75" s="143">
        <f t="array" ref="M75">SUM(IF('2014-2017 Projects'!$C$6:$C$252="9.4 - Environmental Services",'2014-2017 Projects'!$AS$6:$AS$252,0))</f>
        <v>0</v>
      </c>
      <c r="N75" s="143">
        <f t="array" ref="N75">SUM(IF('2014-2017 Projects'!$C$6:$C$252="9.4 - Environmental Services",'2014-2017 Projects'!$AT$6:$AT$252,0))</f>
        <v>0</v>
      </c>
      <c r="O75" s="143">
        <f t="array" ref="O75">SUM(IF('2014-2017 Projects'!$C$6:$C$252="9.4 - Environmental Services",'2014-2017 Projects'!$AV$6:$AV$252,0))</f>
        <v>0</v>
      </c>
      <c r="P75" s="143">
        <f t="array" ref="P75">SUM(IF('2014-2017 Projects'!$C$6:$C$252="9.4 - Environmental Services",'2014-2017 Projects'!$AW$6:$AW$252,0))</f>
        <v>4196.91</v>
      </c>
      <c r="Q75" s="143">
        <f t="array" ref="Q75">SUM(IF('2014-2017 Projects'!$C$6:$C$252="9.4 - Environmental Services",'2014-2017 Projects'!$AY$6:$AY$252,0))</f>
        <v>4196.91</v>
      </c>
      <c r="R75" s="143"/>
      <c r="S75" s="143"/>
      <c r="T75" s="143"/>
      <c r="U75" s="143"/>
      <c r="V75" s="143"/>
      <c r="W75" s="143"/>
      <c r="X75" s="143"/>
      <c r="Y75" s="143"/>
      <c r="Z75" s="143"/>
      <c r="AA75" s="143"/>
      <c r="AB75" s="143"/>
      <c r="AC75" s="143"/>
      <c r="AD75" s="143"/>
      <c r="AE75" s="143"/>
      <c r="AF75" s="143"/>
      <c r="AG75" s="143"/>
      <c r="AH75" s="143">
        <f t="array" ref="AH75">SUM(IF('2014-2017 Projects'!$C$6:$C$252="9.4 - Environmental Services",'2014-2017 Projects'!$BY$6:$BY$252,0))</f>
        <v>4196.91</v>
      </c>
      <c r="AI75" s="143">
        <f t="array" ref="AI75">SUM(IF('2014-2017 Projects'!$C$6:$C$252="9.4 - Environmental Services",'2014-2017 Projects'!$BZ$6:$BZ$252,0))</f>
        <v>4196.91</v>
      </c>
      <c r="AJ75" s="143">
        <f t="array" ref="AJ75">SUM(IF('2014-2017 Projects'!$C$6:$C$252="9.4 - Environmental Services",'2014-2017 Projects'!$BX$6:$BX$252,0))</f>
        <v>658026.64</v>
      </c>
      <c r="AK75" s="143">
        <f t="shared" si="10"/>
        <v>1995803.09</v>
      </c>
      <c r="AL75" s="143">
        <f t="shared" si="11"/>
        <v>1995803.09</v>
      </c>
      <c r="AM75" s="390">
        <f t="shared" si="12"/>
        <v>2.0984549999999999E-3</v>
      </c>
      <c r="AN75" s="390">
        <f t="shared" si="13"/>
        <v>2.0984549999999999E-3</v>
      </c>
      <c r="AO75" s="156"/>
      <c r="AP75" s="156"/>
      <c r="AQ75" s="156"/>
      <c r="AR75" s="156"/>
      <c r="AS75" s="156"/>
      <c r="AT75" s="307"/>
      <c r="AU75" s="323"/>
      <c r="AV75" s="323"/>
      <c r="AW75" s="323"/>
      <c r="AX75" s="154"/>
    </row>
    <row r="76" spans="1:50" s="132" customFormat="1" x14ac:dyDescent="0.2">
      <c r="A76" s="142" t="s">
        <v>241</v>
      </c>
      <c r="B76" s="143">
        <f t="array" ref="B76">SUM(IF('2014-2017 Projects'!$A$6:$A$298="Municipal Manager's Office",'2014-2017 Projects'!$AG$6:$AG$298,0))</f>
        <v>12750000</v>
      </c>
      <c r="C76" s="143">
        <f t="array" ref="C76">SUM(IF('2014-2017 Projects'!$A$6:$A$298="Municipal Manager's Office",'2014-2017 Projects'!$AG$6:$AG$298,0))</f>
        <v>12750000</v>
      </c>
      <c r="D76" s="143">
        <f t="array" ref="D76">SUM(IF('2014-2017 Projects'!$A$6:$A$298="Municipal Manager's Office",'2014-2017 Projects'!$AG$6:$AG$298,0))</f>
        <v>12750000</v>
      </c>
      <c r="E76" s="143">
        <f t="array" ref="E76">SUM(IF('2014-2017 Projects'!$A$6:$A$298="Municipal Manager's Office",'2014-2017 Projects'!$AH$6:$AH$298,0))</f>
        <v>-10000000</v>
      </c>
      <c r="F76" s="143">
        <f t="array" ref="F76">SUM(IF('2014-2017 Projects'!$A$6:$A$298="Municipal Manager's Office",'2014-2017 Projects'!$AI$6:$AI$298,0))</f>
        <v>2750000</v>
      </c>
      <c r="G76" s="143"/>
      <c r="H76" s="143">
        <f t="array" ref="H76">SUM(IF('2014-2017 Projects'!$C$6:$C$252="9.7 - Interments",'2014-2017 Projects'!$AK$6:$AK$252,0))</f>
        <v>10000000</v>
      </c>
      <c r="I76" s="143">
        <f t="array" ref="I76">SUM(IF('2014-2017 Projects'!$C$6:$C$252="9.7 - Interments",'2014-2017 Projects'!$AM$6:$AM$252,0))</f>
        <v>11700000</v>
      </c>
      <c r="J76" s="143">
        <f t="array" ref="J76">SUM(IF('2014-2017 Projects'!$C$6:$C$252="9.7 - Interments",'2014-2017 Projects'!$AN$6:$AN$252,0))</f>
        <v>0</v>
      </c>
      <c r="K76" s="143">
        <f t="array" ref="K76">SUM(IF('2014-2017 Projects'!$C$6:$C$252="9.7 - Interments",'2014-2017 Projects'!$AP$6:$AP$252,0))</f>
        <v>0</v>
      </c>
      <c r="L76" s="143">
        <f t="array" ref="L76">SUM(IF('2014-2017 Projects'!$C$6:$C$252="9.7 - Interments",'2014-2017 Projects'!$AQ$6:$AQ$252,0))</f>
        <v>0</v>
      </c>
      <c r="M76" s="143">
        <f t="array" ref="M76">SUM(IF('2014-2017 Projects'!$C$6:$C$252="9.7 - Interments",'2014-2017 Projects'!$AS$6:$AS$252,0))</f>
        <v>0</v>
      </c>
      <c r="N76" s="143">
        <f t="array" ref="N76">SUM(IF('2014-2017 Projects'!$C$6:$C$252="9.7 - Interments",'2014-2017 Projects'!$AT$6:$AT$252,0))</f>
        <v>0</v>
      </c>
      <c r="O76" s="143">
        <f t="array" ref="O76">SUM(IF('2014-2017 Projects'!$C$6:$C$252="9.7 - Interments",'2014-2017 Projects'!$AV$6:$AV$252,0))</f>
        <v>0</v>
      </c>
      <c r="P76" s="143">
        <f t="array" ref="P76">SUM(IF('2014-2017 Projects'!$C$6:$C$252="9.7 - Interments",'2014-2017 Projects'!$AW$6:$AW$252,0))</f>
        <v>0</v>
      </c>
      <c r="Q76" s="143">
        <f t="array" ref="Q76">SUM(IF('2014-2017 Projects'!$C$6:$C$252="9.7 - Interments",'2014-2017 Projects'!$AY$6:$AY$252,0))</f>
        <v>0</v>
      </c>
      <c r="R76" s="143"/>
      <c r="S76" s="143"/>
      <c r="T76" s="143"/>
      <c r="U76" s="143"/>
      <c r="V76" s="143"/>
      <c r="W76" s="143"/>
      <c r="X76" s="143"/>
      <c r="Y76" s="143"/>
      <c r="Z76" s="143"/>
      <c r="AA76" s="143"/>
      <c r="AB76" s="143"/>
      <c r="AC76" s="143"/>
      <c r="AD76" s="143"/>
      <c r="AE76" s="143"/>
      <c r="AF76" s="143"/>
      <c r="AG76" s="143"/>
      <c r="AH76" s="143">
        <f t="array" ref="AH76">SUM(IF('2014-2017 Projects'!$C$6:$C$252="9.7 - Interments",'2014-2017 Projects'!$BY$6:$BY$252,0))</f>
        <v>0</v>
      </c>
      <c r="AI76" s="143">
        <f t="array" ref="AI76">SUM(IF('2014-2017 Projects'!$C$6:$C$252="9.7 - Interments",'2014-2017 Projects'!$BZ$6:$BZ$252,0))</f>
        <v>0</v>
      </c>
      <c r="AJ76" s="143">
        <f t="array" ref="AJ76">SUM(IF('2014-2017 Projects'!$C$6:$C$252="9.7 - Interments",'2014-2017 Projects'!$BX$6:$BX$252,0))</f>
        <v>5415228.2400000002</v>
      </c>
      <c r="AK76" s="143">
        <f t="shared" si="10"/>
        <v>11700000</v>
      </c>
      <c r="AL76" s="143">
        <f t="shared" si="11"/>
        <v>11700000</v>
      </c>
      <c r="AM76" s="390">
        <f>AH76/H76</f>
        <v>0</v>
      </c>
      <c r="AN76" s="390">
        <f>AI76/H76</f>
        <v>0</v>
      </c>
      <c r="AO76" s="156"/>
      <c r="AP76" s="156"/>
      <c r="AQ76" s="156"/>
      <c r="AR76" s="156"/>
      <c r="AS76" s="156"/>
      <c r="AT76" s="307"/>
      <c r="AU76" s="323"/>
      <c r="AV76" s="323"/>
      <c r="AW76" s="323"/>
      <c r="AX76" s="154"/>
    </row>
    <row r="77" spans="1:50" s="132" customFormat="1" x14ac:dyDescent="0.2">
      <c r="A77" s="169" t="s">
        <v>242</v>
      </c>
      <c r="B77" s="143">
        <f t="array" ref="B77">SUM(IF('2014-2017 Projects'!$A$6:$A$277="Chief Operations Officer",'2014-2017 Projects'!$AG$6:$AG$277,0))</f>
        <v>0</v>
      </c>
      <c r="C77" s="143">
        <f t="array" ref="C77">SUM(IF('2014-2017 Projects'!$A$6:$A$277="Chief Operations Officer",'2014-2017 Projects'!$AG$6:$AG$277,0))</f>
        <v>0</v>
      </c>
      <c r="D77" s="143">
        <f t="array" ref="D77">SUM(IF('2014-2017 Projects'!$A$6:$A$277="Chief Operations Officer",'2014-2017 Projects'!$AG$6:$AG$277,0))</f>
        <v>0</v>
      </c>
      <c r="E77" s="143">
        <f t="array" ref="E77">SUM(IF('2014-2017 Projects'!$A$6:$A$277="Chief Operations Officer",'2014-2017 Projects'!$AH$6:$AH$277,0))</f>
        <v>0</v>
      </c>
      <c r="F77" s="143">
        <f t="array" ref="F77">SUM(IF('2014-2017 Projects'!$A$6:$A$277="Chief Operations Officer",'2014-2017 Projects'!$AI$6:$AI$277,0))</f>
        <v>0</v>
      </c>
      <c r="G77" s="143">
        <f t="array" ref="G77">SUM(IF('2014-2017 Projects'!$A$6:$A$277="Chief Operations Officer",'2014-2017 Projects'!$AG$6:$AG$277,0))</f>
        <v>0</v>
      </c>
      <c r="H77" s="143">
        <f t="array" ref="H77">SUM(IF('2014-2017 Projects'!$C$6:$C$252="9.14 - Halls",'2014-2017 Projects'!$AK$6:$AK$252,0))</f>
        <v>10000000</v>
      </c>
      <c r="I77" s="143">
        <f t="array" ref="I77">SUM(IF('2014-2017 Projects'!$C$6:$C$252="9.14 - Halls",'2014-2017 Projects'!$AM$6:$AM$252,0))</f>
        <v>21307198</v>
      </c>
      <c r="J77" s="143">
        <f t="array" ref="J77">SUM(IF('2014-2017 Projects'!$C$6:$C$252="9.14 - Halls",'2014-2017 Projects'!$AN$6:$AN$252,0))</f>
        <v>0</v>
      </c>
      <c r="K77" s="143">
        <f t="array" ref="K77">SUM(IF('2014-2017 Projects'!$C$6:$C$252="9.14 - Halls",'2014-2017 Projects'!$AP$6:$AP$252,0))</f>
        <v>0</v>
      </c>
      <c r="L77" s="143">
        <f t="array" ref="L77">SUM(IF('2014-2017 Projects'!$C$6:$C$252="9.14 - Halls",'2014-2017 Projects'!$AQ$6:$AQ$252,0))</f>
        <v>47492.13</v>
      </c>
      <c r="M77" s="143">
        <f t="array" ref="M77">SUM(IF('2014-2017 Projects'!$C$6:$C$252="9.14 - Halls",'2014-2017 Projects'!$AS$6:$AS$252,0))</f>
        <v>52755.03</v>
      </c>
      <c r="N77" s="143">
        <f t="array" ref="N77">SUM(IF('2014-2017 Projects'!$C$6:$C$252="9.14 - Halls",'2014-2017 Projects'!$AT$6:$AT$252,0))</f>
        <v>121503.65</v>
      </c>
      <c r="O77" s="143">
        <f t="array" ref="O77">SUM(IF('2014-2017 Projects'!$C$6:$C$252="9.14 - Halls",'2014-2017 Projects'!$AV$6:$AV$252,0))</f>
        <v>138514.16</v>
      </c>
      <c r="P77" s="143">
        <f t="array" ref="P77">SUM(IF('2014-2017 Projects'!$C$6:$C$252="9.14 - Halls",'2014-2017 Projects'!$AW$6:$AW$252,0))</f>
        <v>0</v>
      </c>
      <c r="Q77" s="143">
        <f t="array" ref="Q77">SUM(IF('2014-2017 Projects'!$C$6:$C$252="9.14 - Halls",'2014-2017 Projects'!$AY$6:$AY$252,0))</f>
        <v>0</v>
      </c>
      <c r="R77" s="143"/>
      <c r="S77" s="143"/>
      <c r="T77" s="143"/>
      <c r="U77" s="143"/>
      <c r="V77" s="143"/>
      <c r="W77" s="143"/>
      <c r="X77" s="143"/>
      <c r="Y77" s="143"/>
      <c r="Z77" s="143"/>
      <c r="AA77" s="143"/>
      <c r="AB77" s="143"/>
      <c r="AC77" s="143"/>
      <c r="AD77" s="143"/>
      <c r="AE77" s="143"/>
      <c r="AF77" s="143"/>
      <c r="AG77" s="143"/>
      <c r="AH77" s="143">
        <f t="array" ref="AH77">SUM(IF('2014-2017 Projects'!$C$6:$C$252="9.14 - Halls",'2014-2017 Projects'!$BY$6:$BY$252,0))</f>
        <v>168995.78</v>
      </c>
      <c r="AI77" s="143">
        <f t="array" ref="AI77">SUM(IF('2014-2017 Projects'!$C$6:$C$252="9.14 - Halls",'2014-2017 Projects'!$BZ$6:$BZ$252,0))</f>
        <v>191269.19</v>
      </c>
      <c r="AJ77" s="143">
        <f t="array" ref="AJ77">SUM(IF('2014-2017 Projects'!$C$6:$C$252="9.14 - Halls",'2014-2017 Projects'!$BX$6:$BX$252,0))</f>
        <v>4167238.88</v>
      </c>
      <c r="AK77" s="143">
        <f t="shared" si="10"/>
        <v>21138202.219999999</v>
      </c>
      <c r="AL77" s="143">
        <f t="shared" si="11"/>
        <v>21115928.809999999</v>
      </c>
      <c r="AM77" s="390">
        <f>AH77/H77</f>
        <v>1.6899577999999998E-2</v>
      </c>
      <c r="AN77" s="390">
        <f>AI77/H77</f>
        <v>1.9126918999999999E-2</v>
      </c>
      <c r="AO77" s="156"/>
      <c r="AP77" s="156"/>
      <c r="AQ77" s="156"/>
      <c r="AR77" s="156"/>
      <c r="AS77" s="156"/>
      <c r="AT77" s="307"/>
      <c r="AU77" s="323"/>
      <c r="AV77" s="323"/>
      <c r="AW77" s="323"/>
      <c r="AX77" s="154"/>
    </row>
    <row r="78" spans="1:50" s="132" customFormat="1" x14ac:dyDescent="0.2">
      <c r="A78" s="169" t="s">
        <v>243</v>
      </c>
      <c r="B78" s="143">
        <f t="array" ref="B78">SUM(IF('2014-2017 Projects'!$A$6:$A$277="Financial Services",'2014-2017 Projects'!$AG$6:$AG$277,0))</f>
        <v>0</v>
      </c>
      <c r="C78" s="143">
        <f t="array" ref="C78">SUM(IF('2014-2017 Projects'!$A$6:$A$277="Financial Services",'2014-2017 Projects'!$AG$6:$AG$277,0))</f>
        <v>0</v>
      </c>
      <c r="D78" s="143">
        <f t="array" ref="D78">SUM(IF('2014-2017 Projects'!$A$6:$A$277="Financial Services",'2014-2017 Projects'!$AG$6:$AG$277,0))</f>
        <v>0</v>
      </c>
      <c r="E78" s="143">
        <f t="array" ref="E78">SUM(IF('2014-2017 Projects'!$A$6:$A$277="Financial Services",'2014-2017 Projects'!$AH$6:$AH$277,0))</f>
        <v>0</v>
      </c>
      <c r="F78" s="143">
        <f t="array" ref="F78">SUM(IF('2014-2017 Projects'!$A$6:$A$277="Financial Services",'2014-2017 Projects'!$AI$6:$AI$277,0))</f>
        <v>0</v>
      </c>
      <c r="G78" s="143"/>
      <c r="H78" s="143">
        <f t="array" ref="H78">SUM(IF('2014-2017 Projects'!$C$6:$C$252="9.16 - Sportsfields",'2014-2017 Projects'!$AK$6:$AK$252,0))</f>
        <v>23030409</v>
      </c>
      <c r="I78" s="143">
        <f t="array" ref="I78">SUM(IF('2014-2017 Projects'!$C$6:$C$252="9.16 - Sportsfields",'2014-2017 Projects'!$AM$6:$AM$252,0))</f>
        <v>26101354</v>
      </c>
      <c r="J78" s="143">
        <f t="array" ref="J78">SUM(IF('2014-2017 Projects'!$C$6:$C$252="9.16 - Sportsfields",'2014-2017 Projects'!$AN$6:$AN$252,0))</f>
        <v>0</v>
      </c>
      <c r="K78" s="143">
        <f t="array" ref="K78">SUM(IF('2014-2017 Projects'!$C$6:$C$252="9.16 - Sportsfields",'2014-2017 Projects'!$AP$6:$AP$252,0))</f>
        <v>0</v>
      </c>
      <c r="L78" s="143">
        <f t="array" ref="L78">SUM(IF('2014-2017 Projects'!$C$6:$C$252="9.16 - Sportsfields",'2014-2017 Projects'!$AQ$6:$AQ$252,0))</f>
        <v>190000</v>
      </c>
      <c r="M78" s="143">
        <f t="array" ref="M78">SUM(IF('2014-2017 Projects'!$C$6:$C$252="9.16 - Sportsfields",'2014-2017 Projects'!$AS$6:$AS$252,0))</f>
        <v>190000</v>
      </c>
      <c r="N78" s="143">
        <f t="array" ref="N78">SUM(IF('2014-2017 Projects'!$C$6:$C$252="9.16 - Sportsfields",'2014-2017 Projects'!$AT$6:$AT$252,0))</f>
        <v>928123.32</v>
      </c>
      <c r="O78" s="143">
        <f t="array" ref="O78">SUM(IF('2014-2017 Projects'!$C$6:$C$252="9.16 - Sportsfields",'2014-2017 Projects'!$AV$6:$AV$252,0))</f>
        <v>928406.8</v>
      </c>
      <c r="P78" s="143">
        <f t="array" ref="P78">SUM(IF('2014-2017 Projects'!$C$6:$C$252="9.16 - Sportsfields",'2014-2017 Projects'!$AW$6:$AW$252,0))</f>
        <v>1322687.3500000001</v>
      </c>
      <c r="Q78" s="143">
        <f t="array" ref="Q78">SUM(IF('2014-2017 Projects'!$C$6:$C$252="9.16 - Sportsfields",'2014-2017 Projects'!$AY$6:$AY$252,0))</f>
        <v>1459610.96</v>
      </c>
      <c r="R78" s="143"/>
      <c r="S78" s="143"/>
      <c r="T78" s="143"/>
      <c r="U78" s="143"/>
      <c r="V78" s="143"/>
      <c r="W78" s="143"/>
      <c r="X78" s="143"/>
      <c r="Y78" s="143"/>
      <c r="Z78" s="143"/>
      <c r="AA78" s="143"/>
      <c r="AB78" s="143"/>
      <c r="AC78" s="143"/>
      <c r="AD78" s="143"/>
      <c r="AE78" s="143"/>
      <c r="AF78" s="143"/>
      <c r="AG78" s="143"/>
      <c r="AH78" s="143">
        <f t="array" ref="AH78">SUM(IF('2014-2017 Projects'!$C$6:$C$252="9.16 - Sportsfields",'2014-2017 Projects'!$BY$6:$BY$252,0))</f>
        <v>2440810.67</v>
      </c>
      <c r="AI78" s="143">
        <f t="array" ref="AI78">SUM(IF('2014-2017 Projects'!$C$6:$C$252="9.16 - Sportsfields",'2014-2017 Projects'!$BZ$6:$BZ$252,0))</f>
        <v>2578017.7600000002</v>
      </c>
      <c r="AJ78" s="143">
        <f t="array" ref="AJ78">SUM(IF('2014-2017 Projects'!$C$6:$C$252="9.16 - Sportsfields",'2014-2017 Projects'!$BX$6:$BX$252,0))</f>
        <v>366600</v>
      </c>
      <c r="AK78" s="143">
        <f t="shared" si="10"/>
        <v>23660543.329999998</v>
      </c>
      <c r="AL78" s="143">
        <f t="shared" si="11"/>
        <v>23523336.239999998</v>
      </c>
      <c r="AM78" s="390">
        <f t="shared" ref="AM78:AM82" si="40">AH78/H78</f>
        <v>0.10598208090876718</v>
      </c>
      <c r="AN78" s="390">
        <f t="shared" ref="AN78:AN82" si="41">AI78/H78</f>
        <v>0.11193972977205921</v>
      </c>
      <c r="AO78" s="156"/>
      <c r="AP78" s="156"/>
      <c r="AQ78" s="156"/>
      <c r="AR78" s="156"/>
      <c r="AS78" s="156"/>
      <c r="AT78" s="307"/>
      <c r="AU78" s="323"/>
      <c r="AV78" s="323"/>
      <c r="AW78" s="323"/>
      <c r="AX78" s="154"/>
    </row>
    <row r="79" spans="1:50" s="132" customFormat="1" x14ac:dyDescent="0.2">
      <c r="A79" s="169" t="s">
        <v>657</v>
      </c>
      <c r="B79" s="143"/>
      <c r="C79" s="143"/>
      <c r="D79" s="143"/>
      <c r="E79" s="143"/>
      <c r="F79" s="143"/>
      <c r="G79" s="143"/>
      <c r="H79" s="143">
        <f t="array" ref="H79">SUM(IF('2014-2017 Projects'!$C$6:$C$252="9.17 - Swimming Pools",'2014-2017 Projects'!$AK$6:$AK$252,0))</f>
        <v>2000000</v>
      </c>
      <c r="I79" s="143">
        <f t="array" ref="I79">SUM(IF('2014-2017 Projects'!$C$6:$C$252="9.17 - Swimming Pools",'2014-2017 Projects'!$AM$6:$AM$252,0))</f>
        <v>2668126</v>
      </c>
      <c r="J79" s="143">
        <f t="array" ref="J79">SUM(IF('2014-2017 Projects'!$C$6:$C$252="9.17 - Swimming Pools",'2014-2017 Projects'!$AN$6:$AN$252,0))</f>
        <v>0</v>
      </c>
      <c r="K79" s="143">
        <f t="array" ref="K79">SUM(IF('2014-2017 Projects'!$C$6:$C$252="9.17 - Swimming Pools",'2014-2017 Projects'!$AP$6:$AP$252,0))</f>
        <v>0</v>
      </c>
      <c r="L79" s="143">
        <f t="array" ref="L79">SUM(IF('2014-2017 Projects'!$C$6:$C$252="9.17 - Swimming Pools",'2014-2017 Projects'!$AQ$6:$AQ$252,0))</f>
        <v>0</v>
      </c>
      <c r="M79" s="143">
        <f t="array" ref="M79">SUM(IF('2014-2017 Projects'!$C$6:$C$252="9.17 - Swimming Pools",'2014-2017 Projects'!$AS$6:$AS$252,0))</f>
        <v>0</v>
      </c>
      <c r="N79" s="143">
        <f t="array" ref="N79">SUM(IF('2014-2017 Projects'!$C$6:$C$252="9.17 - Swimming Pools",'2014-2017 Projects'!$AT$6:$AT$252,0))</f>
        <v>0</v>
      </c>
      <c r="O79" s="143">
        <f t="array" ref="O79">SUM(IF('2014-2017 Projects'!$C$6:$C$252="9.17 - Swimming Pools",'2014-2017 Projects'!$AV$6:$AV$252,0))</f>
        <v>0</v>
      </c>
      <c r="P79" s="143">
        <f t="array" ref="P79">SUM(IF('2014-2017 Projects'!$C$6:$C$252="9.17 - Swimming Pools",'2014-2017 Projects'!$AW$6:$AW$252,0))</f>
        <v>0</v>
      </c>
      <c r="Q79" s="143">
        <f t="array" ref="Q79">SUM(IF('2014-2017 Projects'!$C$6:$C$252="9.17 - Swimming Pools",'2014-2017 Projects'!$AY$6:$AY$252,0))</f>
        <v>0</v>
      </c>
      <c r="R79" s="143"/>
      <c r="S79" s="143"/>
      <c r="T79" s="143"/>
      <c r="U79" s="143"/>
      <c r="V79" s="143"/>
      <c r="W79" s="143"/>
      <c r="X79" s="143"/>
      <c r="Y79" s="143"/>
      <c r="Z79" s="143"/>
      <c r="AA79" s="143"/>
      <c r="AB79" s="143"/>
      <c r="AC79" s="143"/>
      <c r="AD79" s="143"/>
      <c r="AE79" s="143"/>
      <c r="AF79" s="143"/>
      <c r="AG79" s="143"/>
      <c r="AH79" s="143">
        <f t="array" ref="AH79">SUM(IF('2014-2017 Projects'!$C$6:$C$252="9.17 - Swimming Pools",'2014-2017 Projects'!$BY$6:$BY$252,0))</f>
        <v>0</v>
      </c>
      <c r="AI79" s="143">
        <f t="array" ref="AI79">SUM(IF('2014-2017 Projects'!$C$6:$C$252="9.17 - Swimming Pools",'2014-2017 Projects'!$BZ$6:$BZ$252,0))</f>
        <v>0</v>
      </c>
      <c r="AJ79" s="143">
        <f t="array" ref="AJ79">SUM(IF('2014-2017 Projects'!$C$6:$C$252="9.17 - Swimming Pools",'2014-2017 Projects'!$BX$6:$BX$252,0))</f>
        <v>0</v>
      </c>
      <c r="AK79" s="143">
        <f t="shared" si="10"/>
        <v>2668126</v>
      </c>
      <c r="AL79" s="143">
        <f t="shared" si="11"/>
        <v>2668126</v>
      </c>
      <c r="AM79" s="390">
        <f t="shared" ref="AM79" si="42">AH79/H79</f>
        <v>0</v>
      </c>
      <c r="AN79" s="390">
        <f t="shared" ref="AN79" si="43">AI79/H79</f>
        <v>0</v>
      </c>
      <c r="AO79" s="156"/>
      <c r="AP79" s="156"/>
      <c r="AQ79" s="156"/>
      <c r="AR79" s="156"/>
      <c r="AS79" s="156"/>
      <c r="AT79" s="307"/>
      <c r="AU79" s="323"/>
      <c r="AV79" s="323"/>
      <c r="AW79" s="323"/>
      <c r="AX79" s="154"/>
    </row>
    <row r="80" spans="1:50" s="132" customFormat="1" x14ac:dyDescent="0.2">
      <c r="A80" s="169" t="s">
        <v>656</v>
      </c>
      <c r="B80" s="143"/>
      <c r="C80" s="143"/>
      <c r="D80" s="143"/>
      <c r="E80" s="143"/>
      <c r="F80" s="143"/>
      <c r="G80" s="143"/>
      <c r="H80" s="143">
        <f t="array" ref="H80">SUM(IF('2014-2017 Projects'!$C$6:$C$252="9.18 - Aquarium",'2014-2017 Projects'!$AK$6:$AK$252,0))</f>
        <v>1000000</v>
      </c>
      <c r="I80" s="143">
        <f t="array" ref="I80">SUM(IF('2014-2017 Projects'!$C$6:$C$252="9.18 - Aquarium",'2014-2017 Projects'!$AM$6:$AM$252,0))</f>
        <v>1000000</v>
      </c>
      <c r="J80" s="143">
        <f t="array" ref="J80">SUM(IF('2014-2017 Projects'!$C$6:$C$252="9.18 - Aquarium",'2014-2017 Projects'!$AN$6:$AN$252,0))</f>
        <v>0</v>
      </c>
      <c r="K80" s="143">
        <f t="array" ref="K80">SUM(IF('2014-2017 Projects'!$C$6:$C$252="9.18 - Aquarium",'2014-2017 Projects'!$AP$6:$AP$252,0))</f>
        <v>0</v>
      </c>
      <c r="L80" s="143">
        <f t="array" ref="L80">SUM(IF('2014-2017 Projects'!$C$6:$C$252="9.18 - Aquarium",'2014-2017 Projects'!$AQ$6:$AQ$252,0))</f>
        <v>0</v>
      </c>
      <c r="M80" s="143">
        <f t="array" ref="M80">SUM(IF('2014-2017 Projects'!$C$6:$C$252="9.18 - Aquarium",'2014-2017 Projects'!$AS$6:$AS$252,0))</f>
        <v>0</v>
      </c>
      <c r="N80" s="143">
        <f t="array" ref="N80">SUM(IF('2014-2017 Projects'!$C$6:$C$252="9.18 - Aquarium",'2014-2017 Projects'!$AT$6:$AT$252,0))</f>
        <v>0</v>
      </c>
      <c r="O80" s="143">
        <f t="array" ref="O80">SUM(IF('2014-2017 Projects'!$C$6:$C$252="9.18 - Aquarium",'2014-2017 Projects'!$AV$6:$AV$252,0))</f>
        <v>0</v>
      </c>
      <c r="P80" s="143">
        <f t="array" ref="P80">SUM(IF('2014-2017 Projects'!$C$6:$C$252="9.18 - Aquarium",'2014-2017 Projects'!$AW$6:$AW$252,0))</f>
        <v>0</v>
      </c>
      <c r="Q80" s="143">
        <f t="array" ref="Q80">SUM(IF('2014-2017 Projects'!$C$6:$C$252="9.18 - Aquarium",'2014-2017 Projects'!$AY$6:$AY$252,0))</f>
        <v>0</v>
      </c>
      <c r="R80" s="143"/>
      <c r="S80" s="143"/>
      <c r="T80" s="143"/>
      <c r="U80" s="143"/>
      <c r="V80" s="143"/>
      <c r="W80" s="143"/>
      <c r="X80" s="143"/>
      <c r="Y80" s="143"/>
      <c r="Z80" s="143"/>
      <c r="AA80" s="143"/>
      <c r="AB80" s="143"/>
      <c r="AC80" s="143"/>
      <c r="AD80" s="143"/>
      <c r="AE80" s="143"/>
      <c r="AF80" s="143"/>
      <c r="AG80" s="143"/>
      <c r="AH80" s="143">
        <f t="array" ref="AH80">SUM(IF('2014-2017 Projects'!$C$6:$C$252="9.18 - Aquarium",'2014-2017 Projects'!$BY$6:$BY$252,0))</f>
        <v>0</v>
      </c>
      <c r="AI80" s="143">
        <f t="array" ref="AI80">SUM(IF('2014-2017 Projects'!$C$6:$C$252="9.18 - Aquarium",'2014-2017 Projects'!$BZ$6:$BZ$252,0))</f>
        <v>0</v>
      </c>
      <c r="AJ80" s="143">
        <f t="array" ref="AJ80">SUM(IF('2014-2017 Projects'!$C$6:$C$252="9.18 - Aquarium",'2014-2017 Projects'!$BX$6:$BX$252,0))</f>
        <v>0</v>
      </c>
      <c r="AK80" s="143">
        <f t="shared" si="10"/>
        <v>1000000</v>
      </c>
      <c r="AL80" s="143">
        <f t="shared" si="11"/>
        <v>1000000</v>
      </c>
      <c r="AM80" s="390">
        <f t="shared" ref="AM80" si="44">AH80/H80</f>
        <v>0</v>
      </c>
      <c r="AN80" s="390">
        <f t="shared" ref="AN80" si="45">AI80/H80</f>
        <v>0</v>
      </c>
      <c r="AO80" s="156"/>
      <c r="AP80" s="156"/>
      <c r="AQ80" s="156"/>
      <c r="AR80" s="156"/>
      <c r="AS80" s="156"/>
      <c r="AT80" s="307"/>
      <c r="AU80" s="323"/>
      <c r="AV80" s="323"/>
      <c r="AW80" s="323"/>
      <c r="AX80" s="154"/>
    </row>
    <row r="81" spans="1:50" s="132" customFormat="1" x14ac:dyDescent="0.2">
      <c r="A81" s="169" t="s">
        <v>655</v>
      </c>
      <c r="B81" s="143"/>
      <c r="C81" s="143"/>
      <c r="D81" s="143"/>
      <c r="E81" s="143"/>
      <c r="F81" s="143"/>
      <c r="G81" s="143"/>
      <c r="H81" s="143">
        <f t="array" ref="H81">SUM(IF('2014-2017 Projects'!$C$6:$C$252="9.19 - Zoo",'2014-2017 Projects'!$AK$6:$AK$252,0))</f>
        <v>1000000</v>
      </c>
      <c r="I81" s="143">
        <f t="array" ref="I81">SUM(IF('2014-2017 Projects'!$C$6:$C$252="9.19 - Zoo",'2014-2017 Projects'!$AM$6:$AM$252,0))</f>
        <v>1000000</v>
      </c>
      <c r="J81" s="143">
        <f t="array" ref="J81">SUM(IF('2014-2017 Projects'!$C$6:$C$252="9.19 - Zoo",'2014-2017 Projects'!$AN$6:$AN$252,0))</f>
        <v>0</v>
      </c>
      <c r="K81" s="143">
        <f t="array" ref="K81">SUM(IF('2014-2017 Projects'!$C$6:$C$252="9.19 - Zoo",'2014-2017 Projects'!$AP$6:$AP$252,0))</f>
        <v>0</v>
      </c>
      <c r="L81" s="143">
        <f t="array" ref="L81">SUM(IF('2014-2017 Projects'!$C$6:$C$252="9.19 - Zoo",'2014-2017 Projects'!$AQ$6:$AQ$252,0))</f>
        <v>0</v>
      </c>
      <c r="M81" s="143">
        <f t="array" ref="M81">SUM(IF('2014-2017 Projects'!$C$6:$C$252="9.19 - Zoo",'2014-2017 Projects'!$AS$6:$AS$252,0))</f>
        <v>0</v>
      </c>
      <c r="N81" s="143">
        <f t="array" ref="N81">SUM(IF('2014-2017 Projects'!$C$6:$C$252="9.19 - Zoo",'2014-2017 Projects'!$AT$6:$AT$252,0))</f>
        <v>0</v>
      </c>
      <c r="O81" s="143">
        <f t="array" ref="O81">SUM(IF('2014-2017 Projects'!$C$6:$C$252="9.19 - Zoo",'2014-2017 Projects'!$AV$6:$AV$252,0))</f>
        <v>0</v>
      </c>
      <c r="P81" s="143">
        <f t="array" ref="P81">SUM(IF('2014-2017 Projects'!$C$6:$C$252="9.19 - Zoo",'2014-2017 Projects'!$AW$6:$AW$252,0))</f>
        <v>0</v>
      </c>
      <c r="Q81" s="143">
        <f t="array" ref="Q81">SUM(IF('2014-2017 Projects'!$C$6:$C$252="9.19 - Zoo",'2014-2017 Projects'!$AY$6:$AY$252,0))</f>
        <v>0</v>
      </c>
      <c r="R81" s="143"/>
      <c r="S81" s="143"/>
      <c r="T81" s="143"/>
      <c r="U81" s="143"/>
      <c r="V81" s="143"/>
      <c r="W81" s="143"/>
      <c r="X81" s="143"/>
      <c r="Y81" s="143"/>
      <c r="Z81" s="143"/>
      <c r="AA81" s="143"/>
      <c r="AB81" s="143"/>
      <c r="AC81" s="143"/>
      <c r="AD81" s="143"/>
      <c r="AE81" s="143"/>
      <c r="AF81" s="143"/>
      <c r="AG81" s="143"/>
      <c r="AH81" s="143">
        <f t="array" ref="AH81">SUM(IF('2014-2017 Projects'!$C$6:$C$252="9.19 - Zoo",'2014-2017 Projects'!$BY$6:$BY$252,0))</f>
        <v>0</v>
      </c>
      <c r="AI81" s="143">
        <f t="array" ref="AI81">SUM(IF('2014-2017 Projects'!$C$6:$C$252="9.19 - Zoo",'2014-2017 Projects'!$BZ$6:$BZ$252,0))</f>
        <v>0</v>
      </c>
      <c r="AJ81" s="143">
        <f t="array" ref="AJ81">SUM(IF('2014-2017 Projects'!$C$6:$C$252="9.19 - Zoo",'2014-2017 Projects'!$BX$6:$BX$252,0))</f>
        <v>0</v>
      </c>
      <c r="AK81" s="143">
        <f t="shared" si="10"/>
        <v>1000000</v>
      </c>
      <c r="AL81" s="143">
        <f t="shared" si="11"/>
        <v>1000000</v>
      </c>
      <c r="AM81" s="390">
        <f t="shared" ref="AM81" si="46">AH81/H81</f>
        <v>0</v>
      </c>
      <c r="AN81" s="390">
        <f t="shared" ref="AN81" si="47">AI81/H81</f>
        <v>0</v>
      </c>
      <c r="AO81" s="156"/>
      <c r="AP81" s="156"/>
      <c r="AQ81" s="156"/>
      <c r="AR81" s="156"/>
      <c r="AS81" s="156"/>
      <c r="AT81" s="307"/>
      <c r="AU81" s="323"/>
      <c r="AV81" s="323"/>
      <c r="AW81" s="323"/>
      <c r="AX81" s="154"/>
    </row>
    <row r="82" spans="1:50" s="132" customFormat="1" x14ac:dyDescent="0.2">
      <c r="A82" s="169" t="s">
        <v>654</v>
      </c>
      <c r="B82" s="143"/>
      <c r="C82" s="143"/>
      <c r="D82" s="143"/>
      <c r="E82" s="143"/>
      <c r="F82" s="143"/>
      <c r="G82" s="143"/>
      <c r="H82" s="143">
        <f t="array" ref="H82">SUM(IF('2014-2017 Projects'!$C$6:$C$252="9.20 - Beaches",'2014-2017 Projects'!$AK$6:$AK$252,0))</f>
        <v>1000000</v>
      </c>
      <c r="I82" s="143">
        <f t="array" ref="I82">SUM(IF('2014-2017 Projects'!$C$6:$C$252="9.20 - Beaches",'2014-2017 Projects'!$AM$6:$AM$252,0))</f>
        <v>1000000</v>
      </c>
      <c r="J82" s="143">
        <f t="array" ref="J82">SUM(IF('2014-2017 Projects'!$C$6:$C$252="9.20 - Beaches",'2014-2017 Projects'!$AN$6:$AN$252,0))</f>
        <v>0</v>
      </c>
      <c r="K82" s="143">
        <f t="array" ref="K82">SUM(IF('2014-2017 Projects'!$C$6:$C$252="9.20 - Beaches",'2014-2017 Projects'!$AP$6:$AP$252,0))</f>
        <v>0</v>
      </c>
      <c r="L82" s="143">
        <f t="array" ref="L82">SUM(IF('2014-2017 Projects'!$C$6:$C$252="9.20 - Beaches",'2014-2017 Projects'!$AQ$6:$AQ$252,0))</f>
        <v>0</v>
      </c>
      <c r="M82" s="143">
        <f t="array" ref="M82">SUM(IF('2014-2017 Projects'!$C$6:$C$252="9.20 - Beaches",'2014-2017 Projects'!$AS$6:$AS$252,0))</f>
        <v>0</v>
      </c>
      <c r="N82" s="143">
        <f t="array" ref="N82">SUM(IF('2014-2017 Projects'!$C$6:$C$252="9.20 - Beaches",'2014-2017 Projects'!$AT$6:$AT$252,0))</f>
        <v>0</v>
      </c>
      <c r="O82" s="143">
        <f t="array" ref="O82">SUM(IF('2014-2017 Projects'!$C$6:$C$252="9.20 - Beaches",'2014-2017 Projects'!$AV$6:$AV$252,0))</f>
        <v>0</v>
      </c>
      <c r="P82" s="143">
        <f t="array" ref="P82">SUM(IF('2014-2017 Projects'!$C$6:$C$252="9.20 - Beaches",'2014-2017 Projects'!$AW$6:$AW$252,0))</f>
        <v>0</v>
      </c>
      <c r="Q82" s="143">
        <f t="array" ref="Q82">SUM(IF('2014-2017 Projects'!$C$6:$C$252="9.20 - Beaches",'2014-2017 Projects'!$AY$6:$AY$252,0))</f>
        <v>0</v>
      </c>
      <c r="R82" s="143"/>
      <c r="S82" s="143"/>
      <c r="T82" s="143"/>
      <c r="U82" s="143"/>
      <c r="V82" s="143"/>
      <c r="W82" s="143"/>
      <c r="X82" s="143"/>
      <c r="Y82" s="143"/>
      <c r="Z82" s="143"/>
      <c r="AA82" s="143"/>
      <c r="AB82" s="143"/>
      <c r="AC82" s="143"/>
      <c r="AD82" s="143"/>
      <c r="AE82" s="143"/>
      <c r="AF82" s="143"/>
      <c r="AG82" s="143"/>
      <c r="AH82" s="143">
        <f t="array" ref="AH82">SUM(IF('2014-2017 Projects'!$C$6:$C$252="9.20 - Beaches",'2014-2017 Projects'!$BY$6:$BY$252,0))</f>
        <v>0</v>
      </c>
      <c r="AI82" s="143">
        <f t="array" ref="AI82">SUM(IF('2014-2017 Projects'!$C$6:$C$252="9.20 - Beaches",'2014-2017 Projects'!$BZ$6:$BZ$252,0))</f>
        <v>0</v>
      </c>
      <c r="AJ82" s="143">
        <f t="array" ref="AJ82">SUM(IF('2014-2017 Projects'!$C$6:$C$252="9.20 - Beaches",'2014-2017 Projects'!$BX$6:$BX$252,0))</f>
        <v>0</v>
      </c>
      <c r="AK82" s="143">
        <f t="shared" si="10"/>
        <v>1000000</v>
      </c>
      <c r="AL82" s="143">
        <f t="shared" si="11"/>
        <v>1000000</v>
      </c>
      <c r="AM82" s="390">
        <f t="shared" si="40"/>
        <v>0</v>
      </c>
      <c r="AN82" s="390">
        <f t="shared" si="41"/>
        <v>0</v>
      </c>
      <c r="AO82" s="156"/>
      <c r="AP82" s="156"/>
      <c r="AQ82" s="156"/>
      <c r="AR82" s="156"/>
      <c r="AS82" s="156"/>
      <c r="AT82" s="307"/>
      <c r="AU82" s="323"/>
      <c r="AV82" s="323"/>
      <c r="AW82" s="323"/>
      <c r="AX82" s="154"/>
    </row>
    <row r="83" spans="1:50" s="132" customFormat="1" x14ac:dyDescent="0.2">
      <c r="A83" s="169" t="s">
        <v>641</v>
      </c>
      <c r="B83" s="143">
        <f t="array" ref="B83">SUM(IF('2014-2017 Projects'!$A$6:$A$277="Chief Operations Officer",'2014-2017 Projects'!$AG$6:$AG$277,0))</f>
        <v>0</v>
      </c>
      <c r="C83" s="143">
        <f t="array" ref="C83">SUM(IF('2014-2017 Projects'!$A$6:$A$277="Chief Operations Officer",'2014-2017 Projects'!$AG$6:$AG$277,0))</f>
        <v>0</v>
      </c>
      <c r="D83" s="143">
        <f t="array" ref="D83">SUM(IF('2014-2017 Projects'!$A$6:$A$277="Chief Operations Officer",'2014-2017 Projects'!$AG$6:$AG$277,0))</f>
        <v>0</v>
      </c>
      <c r="E83" s="143">
        <f t="array" ref="E83">SUM(IF('2014-2017 Projects'!$A$6:$A$277="Chief Operations Officer",'2014-2017 Projects'!$AH$6:$AH$277,0))</f>
        <v>0</v>
      </c>
      <c r="F83" s="143">
        <f t="array" ref="F83">SUM(IF('2014-2017 Projects'!$A$6:$A$277="Chief Operations Officer",'2014-2017 Projects'!$AI$6:$AI$277,0))</f>
        <v>0</v>
      </c>
      <c r="G83" s="143">
        <f t="array" ref="G83">SUM(IF('2014-2017 Projects'!$A$6:$A$277="Chief Operations Officer",'2014-2017 Projects'!$AG$6:$AG$277,0))</f>
        <v>0</v>
      </c>
      <c r="H83" s="143">
        <f t="array" ref="H83">SUM(IF('2014-2017 Projects'!$C$6:$C$252="9.22 - Cleansing Administration Support",'2014-2017 Projects'!$AK$6:$AK$252,0))</f>
        <v>0</v>
      </c>
      <c r="I83" s="143">
        <f t="array" ref="I83">SUM(IF('2014-2017 Projects'!$C$6:$C$252="9.22 - Cleansing Administration Support",'2014-2017 Projects'!$AM$6:$AM$252,0))</f>
        <v>0</v>
      </c>
      <c r="J83" s="143">
        <f t="array" ref="J83">SUM(IF('2014-2017 Projects'!$C$6:$C$252="9.22 - Cleansing Administration Support",'2014-2017 Projects'!$AN$6:$AN$252,0))</f>
        <v>0</v>
      </c>
      <c r="K83" s="143">
        <f t="array" ref="K83">SUM(IF('2014-2017 Projects'!$C$6:$C$252="9.22 - Cleansing Administration Support",'2014-2017 Projects'!$AP$6:$AP$252,0))</f>
        <v>0</v>
      </c>
      <c r="L83" s="143">
        <f t="array" ref="L83">SUM(IF('2014-2017 Projects'!$C$6:$C$252="9.22 - Cleansing Administration Support",'2014-2017 Projects'!$AQ$6:$AQ$252,0))</f>
        <v>0</v>
      </c>
      <c r="M83" s="143">
        <f t="array" ref="M83">SUM(IF('2014-2017 Projects'!$C$6:$C$252="9.22 - Cleansing Administration Support",'2014-2017 Projects'!$AS$6:$AS$252,0))</f>
        <v>0</v>
      </c>
      <c r="N83" s="143">
        <f t="array" ref="N83">SUM(IF('2014-2017 Projects'!$C$6:$C$252="9.22 - Cleansing Administration Support",'2014-2017 Projects'!$AT$6:$AT$252,0))</f>
        <v>0</v>
      </c>
      <c r="O83" s="143">
        <f t="array" ref="O83">SUM(IF('2014-2017 Projects'!$C$6:$C$252="9.22 - Cleansing Administration Support",'2014-2017 Projects'!$AV$6:$AV$252,0))</f>
        <v>0</v>
      </c>
      <c r="P83" s="143">
        <f t="array" ref="P83">SUM(IF('2014-2017 Projects'!$C$6:$C$252="9.22 - Cleansing Administration Support",'2014-2017 Projects'!$AW$6:$AW$252,0))</f>
        <v>0</v>
      </c>
      <c r="Q83" s="143">
        <f t="array" ref="Q83">SUM(IF('2014-2017 Projects'!$C$6:$C$252="9.22 - Cleansing Administration Support",'2014-2017 Projects'!$AY$6:$AY$252,0))</f>
        <v>0</v>
      </c>
      <c r="R83" s="143"/>
      <c r="S83" s="143"/>
      <c r="T83" s="143"/>
      <c r="U83" s="143"/>
      <c r="V83" s="143"/>
      <c r="W83" s="143"/>
      <c r="X83" s="143"/>
      <c r="Y83" s="143"/>
      <c r="Z83" s="143"/>
      <c r="AA83" s="143"/>
      <c r="AB83" s="143"/>
      <c r="AC83" s="143"/>
      <c r="AD83" s="143"/>
      <c r="AE83" s="143"/>
      <c r="AF83" s="143"/>
      <c r="AG83" s="143"/>
      <c r="AH83" s="143">
        <f t="array" ref="AH83">SUM(IF('2014-2017 Projects'!$C$6:$C$252="9.22 - Cleansing Administration Support",'2014-2017 Projects'!$BY$6:$BY$252,0))</f>
        <v>0</v>
      </c>
      <c r="AI83" s="143">
        <f t="array" ref="AI83">SUM(IF('2014-2017 Projects'!$C$6:$C$252="9.22 - Cleansing Administration Support",'2014-2017 Projects'!$BZ$6:$BZ$252,0))</f>
        <v>0</v>
      </c>
      <c r="AJ83" s="143">
        <f t="array" ref="AJ83">SUM(IF('2014-2017 Projects'!$C$6:$C$252="9.22 - Cleansing Administration Support",'2014-2017 Projects'!$BX$6:$BX$252,0))</f>
        <v>0</v>
      </c>
      <c r="AK83" s="143">
        <f t="shared" si="10"/>
        <v>0</v>
      </c>
      <c r="AL83" s="143">
        <f t="shared" si="11"/>
        <v>0</v>
      </c>
      <c r="AM83" s="390" t="e">
        <f t="shared" si="12"/>
        <v>#DIV/0!</v>
      </c>
      <c r="AN83" s="390" t="e">
        <f t="shared" si="13"/>
        <v>#DIV/0!</v>
      </c>
      <c r="AO83" s="156"/>
      <c r="AP83" s="156"/>
      <c r="AQ83" s="156"/>
      <c r="AR83" s="156"/>
      <c r="AS83" s="156"/>
      <c r="AT83" s="307"/>
      <c r="AU83" s="323"/>
      <c r="AV83" s="323"/>
      <c r="AW83" s="323"/>
      <c r="AX83" s="154"/>
    </row>
    <row r="84" spans="1:50" s="132" customFormat="1" x14ac:dyDescent="0.2">
      <c r="A84" s="169" t="s">
        <v>642</v>
      </c>
      <c r="B84" s="143">
        <f t="array" ref="B84">SUM(IF('2014-2017 Projects'!$A$6:$A$277="Financial Services",'2014-2017 Projects'!$AG$6:$AG$277,0))</f>
        <v>0</v>
      </c>
      <c r="C84" s="143">
        <f t="array" ref="C84">SUM(IF('2014-2017 Projects'!$A$6:$A$277="Financial Services",'2014-2017 Projects'!$AG$6:$AG$277,0))</f>
        <v>0</v>
      </c>
      <c r="D84" s="143">
        <f t="array" ref="D84">SUM(IF('2014-2017 Projects'!$A$6:$A$277="Financial Services",'2014-2017 Projects'!$AG$6:$AG$277,0))</f>
        <v>0</v>
      </c>
      <c r="E84" s="143">
        <f t="array" ref="E84">SUM(IF('2014-2017 Projects'!$A$6:$A$277="Financial Services",'2014-2017 Projects'!$AH$6:$AH$277,0))</f>
        <v>0</v>
      </c>
      <c r="F84" s="143">
        <f t="array" ref="F84">SUM(IF('2014-2017 Projects'!$A$6:$A$277="Financial Services",'2014-2017 Projects'!$AI$6:$AI$277,0))</f>
        <v>0</v>
      </c>
      <c r="G84" s="143"/>
      <c r="H84" s="143">
        <f t="array" ref="H84">SUM(IF('2014-2017 Projects'!$C$6:$C$252="9.23 - Refuse Removal",'2014-2017 Projects'!$AK$6:$AK$252,0))</f>
        <v>0</v>
      </c>
      <c r="I84" s="143">
        <f t="array" ref="I84">SUM(IF('2014-2017 Projects'!$C$6:$C$252="9.23 - Refuse Removal",'2014-2017 Projects'!$AM$6:$AM$252,0))</f>
        <v>8804587</v>
      </c>
      <c r="J84" s="143">
        <f t="array" ref="J84">SUM(IF('2014-2017 Projects'!$C$6:$C$252="9.23 - Refuse Removal",'2014-2017 Projects'!$AN$6:$AN$252,0))</f>
        <v>0</v>
      </c>
      <c r="K84" s="143">
        <f t="array" ref="K84">SUM(IF('2014-2017 Projects'!$C$6:$C$252="9.23 - Refuse Removal",'2014-2017 Projects'!$AP$6:$AP$252,0))</f>
        <v>0</v>
      </c>
      <c r="L84" s="143">
        <f t="array" ref="L84">SUM(IF('2014-2017 Projects'!$C$6:$C$252="9.23 - Refuse Removal",'2014-2017 Projects'!$AQ$6:$AQ$252,0))</f>
        <v>0</v>
      </c>
      <c r="M84" s="143">
        <f t="array" ref="M84">SUM(IF('2014-2017 Projects'!$C$6:$C$252="9.23 - Refuse Removal",'2014-2017 Projects'!$AS$6:$AS$252,0))</f>
        <v>0</v>
      </c>
      <c r="N84" s="143">
        <f t="array" ref="N84">SUM(IF('2014-2017 Projects'!$C$6:$C$252="9.23 - Refuse Removal",'2014-2017 Projects'!$AT$6:$AT$252,0))</f>
        <v>0</v>
      </c>
      <c r="O84" s="143">
        <f t="array" ref="O84">SUM(IF('2014-2017 Projects'!$C$6:$C$252="9.23 - Refuse Removal",'2014-2017 Projects'!$AV$6:$AV$252,0))</f>
        <v>0</v>
      </c>
      <c r="P84" s="143">
        <f t="array" ref="P84">SUM(IF('2014-2017 Projects'!$C$6:$C$252="9.23 - Refuse Removal",'2014-2017 Projects'!$AW$6:$AW$252,0))</f>
        <v>0</v>
      </c>
      <c r="Q84" s="143">
        <f t="array" ref="Q84">SUM(IF('2014-2017 Projects'!$C$6:$C$252="9.23 - Refuse Removal",'2014-2017 Projects'!$AY$6:$AY$252,0))</f>
        <v>0</v>
      </c>
      <c r="R84" s="143"/>
      <c r="S84" s="143"/>
      <c r="T84" s="143"/>
      <c r="U84" s="143"/>
      <c r="V84" s="143"/>
      <c r="W84" s="143"/>
      <c r="X84" s="143"/>
      <c r="Y84" s="143"/>
      <c r="Z84" s="143"/>
      <c r="AA84" s="143"/>
      <c r="AB84" s="143"/>
      <c r="AC84" s="143"/>
      <c r="AD84" s="143"/>
      <c r="AE84" s="143"/>
      <c r="AF84" s="143"/>
      <c r="AG84" s="143"/>
      <c r="AH84" s="143">
        <f t="array" ref="AH84">SUM(IF('2014-2017 Projects'!$C$6:$C$252="9.23 - Refuse Removal",'2014-2017 Projects'!$BY$6:$BY$252,0))</f>
        <v>0</v>
      </c>
      <c r="AI84" s="143">
        <f t="array" ref="AI84">SUM(IF('2014-2017 Projects'!$C$6:$C$252="9.23 - Refuse Removal",'2014-2017 Projects'!$BZ$6:$BZ$252,0))</f>
        <v>0</v>
      </c>
      <c r="AJ84" s="143">
        <f t="array" ref="AJ84">SUM(IF('2014-2017 Projects'!$C$6:$C$252="9.23 - Refuse Removal",'2014-2017 Projects'!$BX$6:$BX$252,0))</f>
        <v>0</v>
      </c>
      <c r="AK84" s="143">
        <f t="shared" si="10"/>
        <v>8804587</v>
      </c>
      <c r="AL84" s="143">
        <f t="shared" si="11"/>
        <v>8804587</v>
      </c>
      <c r="AM84" s="390" t="e">
        <f t="shared" si="12"/>
        <v>#DIV/0!</v>
      </c>
      <c r="AN84" s="390" t="e">
        <f t="shared" si="13"/>
        <v>#DIV/0!</v>
      </c>
      <c r="AO84" s="156"/>
      <c r="AP84" s="156"/>
      <c r="AQ84" s="156"/>
      <c r="AR84" s="156"/>
      <c r="AS84" s="156"/>
      <c r="AT84" s="307"/>
      <c r="AU84" s="323"/>
      <c r="AV84" s="323"/>
      <c r="AW84" s="323"/>
      <c r="AX84" s="154"/>
    </row>
    <row r="85" spans="1:50" s="132" customFormat="1" x14ac:dyDescent="0.2">
      <c r="A85" s="169" t="s">
        <v>244</v>
      </c>
      <c r="B85" s="143">
        <f t="array" ref="B85">SUM(IF('2014-2017 Projects'!$A$6:$A$277="Corporate Services",'2014-2017 Projects'!$AG$6:$AG$277,0))</f>
        <v>6600000</v>
      </c>
      <c r="C85" s="143">
        <f t="array" ref="C85">SUM(IF('2014-2017 Projects'!$A$6:$A$277="Corporate Services",'2014-2017 Projects'!$AG$6:$AG$277,0))</f>
        <v>6600000</v>
      </c>
      <c r="D85" s="143">
        <f t="array" ref="D85">SUM(IF('2014-2017 Projects'!$A$6:$A$277="Corporate Services",'2014-2017 Projects'!$AG$6:$AG$277,0))</f>
        <v>6600000</v>
      </c>
      <c r="E85" s="143">
        <f t="array" ref="E85">SUM(IF('2014-2017 Projects'!$A$6:$A$277="Corporate Services",'2014-2017 Projects'!$AH$6:$AH$277,0))</f>
        <v>0</v>
      </c>
      <c r="F85" s="143">
        <f t="array" ref="F85">SUM(IF('2014-2017 Projects'!$A$6:$A$277="Corporate Services",'2014-2017 Projects'!$AI$6:$AI$277,0))</f>
        <v>6600000</v>
      </c>
      <c r="G85" s="143"/>
      <c r="H85" s="143">
        <f t="array" ref="H85">SUM(IF('2014-2017 Projects'!$C$6:$C$252="9.27 - E.L Regional Waste Disposal Site &amp; Transfer Station",'2014-2017 Projects'!$AK$6:$AK$252,0))</f>
        <v>36000000</v>
      </c>
      <c r="I85" s="143">
        <f t="array" ref="I85">SUM(IF('2014-2017 Projects'!$C$6:$C$252="9.27 - E.L Regional Waste Disposal Site &amp; Transfer Station",'2014-2017 Projects'!$AM$6:$AM$252,0))</f>
        <v>86010908</v>
      </c>
      <c r="J85" s="143">
        <f t="array" ref="J85">SUM(IF('2014-2017 Projects'!$C$6:$C$252="9.27 - E.L Regional Waste Disposal Site &amp; Transfer Station",'2014-2017 Projects'!$AN$6:$AN$252,0))</f>
        <v>0</v>
      </c>
      <c r="K85" s="143">
        <f t="array" ref="K85">SUM(IF('2014-2017 Projects'!$C$6:$C$252="9.27 - E.L Regional Waste Disposal Site &amp; Transfer Station",'2014-2017 Projects'!$AP$6:$AP$252,0))</f>
        <v>0</v>
      </c>
      <c r="L85" s="143">
        <f t="array" ref="L85">SUM(IF('2014-2017 Projects'!$C$6:$C$252="9.27 - E.L Regional Waste Disposal Site &amp; Transfer Station",'2014-2017 Projects'!$AQ$6:$AQ$252,0))</f>
        <v>645222.42000000004</v>
      </c>
      <c r="M85" s="143">
        <f t="array" ref="M85">SUM(IF('2014-2017 Projects'!$C$6:$C$252="9.27 - E.L Regional Waste Disposal Site &amp; Transfer Station",'2014-2017 Projects'!$AS$6:$AS$252,0))</f>
        <v>645779.06000000006</v>
      </c>
      <c r="N85" s="143">
        <f t="array" ref="N85">SUM(IF('2014-2017 Projects'!$C$6:$C$252="9.27 - E.L Regional Waste Disposal Site &amp; Transfer Station",'2014-2017 Projects'!$AT$6:$AT$252,0))</f>
        <v>2450643.0699999998</v>
      </c>
      <c r="O85" s="143">
        <f t="array" ref="O85">SUM(IF('2014-2017 Projects'!$C$6:$C$252="9.27 - E.L Regional Waste Disposal Site &amp; Transfer Station",'2014-2017 Projects'!$AV$6:$AV$252,0))</f>
        <v>2450643.0699999998</v>
      </c>
      <c r="P85" s="143">
        <f t="array" ref="P85">SUM(IF('2014-2017 Projects'!$C$6:$C$252="9.27 - E.L Regional Waste Disposal Site &amp; Transfer Station",'2014-2017 Projects'!$AW$6:$AW$252,0))</f>
        <v>2238657.9500000002</v>
      </c>
      <c r="Q85" s="143">
        <f t="array" ref="Q85">SUM(IF('2014-2017 Projects'!$C$6:$C$252="9.27 - E.L Regional Waste Disposal Site &amp; Transfer Station",'2014-2017 Projects'!$AY$6:$AY$252,0))</f>
        <v>2238657.9500000002</v>
      </c>
      <c r="R85" s="143"/>
      <c r="S85" s="143"/>
      <c r="T85" s="143"/>
      <c r="U85" s="143"/>
      <c r="V85" s="143"/>
      <c r="W85" s="143"/>
      <c r="X85" s="143"/>
      <c r="Y85" s="143"/>
      <c r="Z85" s="143"/>
      <c r="AA85" s="143"/>
      <c r="AB85" s="143"/>
      <c r="AC85" s="143"/>
      <c r="AD85" s="143"/>
      <c r="AE85" s="143"/>
      <c r="AF85" s="143"/>
      <c r="AG85" s="143"/>
      <c r="AH85" s="143">
        <f t="array" ref="AH85">SUM(IF('2014-2017 Projects'!$C$6:$C$252="9.27 - E.L Regional Waste Disposal Site &amp; Transfer Station",'2014-2017 Projects'!$BY$6:$BY$252,0))</f>
        <v>5334523.4400000004</v>
      </c>
      <c r="AI85" s="143">
        <f t="array" ref="AI85">SUM(IF('2014-2017 Projects'!$C$6:$C$252="9.27 - E.L Regional Waste Disposal Site &amp; Transfer Station",'2014-2017 Projects'!$BZ$6:$BZ$252,0))</f>
        <v>5335080.08</v>
      </c>
      <c r="AJ85" s="143">
        <f t="array" ref="AJ85">SUM(IF('2014-2017 Projects'!$C$6:$C$252="9.27 - E.L Regional Waste Disposal Site &amp; Transfer Station",'2014-2017 Projects'!$BX$6:$BX$252,0))</f>
        <v>18996936.619999997</v>
      </c>
      <c r="AK85" s="143">
        <f t="shared" si="10"/>
        <v>80676384.560000002</v>
      </c>
      <c r="AL85" s="143">
        <f t="shared" si="11"/>
        <v>80675827.920000002</v>
      </c>
      <c r="AM85" s="390">
        <f t="shared" si="12"/>
        <v>0.14818120666666668</v>
      </c>
      <c r="AN85" s="390">
        <f t="shared" si="13"/>
        <v>0.14819666888888888</v>
      </c>
      <c r="AO85" s="156"/>
      <c r="AP85" s="156"/>
      <c r="AQ85" s="156"/>
      <c r="AR85" s="156"/>
      <c r="AS85" s="156"/>
      <c r="AT85" s="307"/>
      <c r="AU85" s="323"/>
      <c r="AV85" s="323"/>
      <c r="AW85" s="323"/>
      <c r="AX85" s="154"/>
    </row>
    <row r="86" spans="1:50" s="132" customFormat="1" x14ac:dyDescent="0.2">
      <c r="A86" s="401"/>
      <c r="B86" s="143">
        <f t="array" ref="B86">SUM(IF('2014-2017 Projects'!$A$6:$A$277="Chief Operations Officer",'2014-2017 Projects'!$AG$6:$AG$277,0))</f>
        <v>0</v>
      </c>
      <c r="C86" s="143">
        <f t="array" ref="C86">SUM(IF('2014-2017 Projects'!$A$6:$A$277="Chief Operations Officer",'2014-2017 Projects'!$AG$6:$AG$277,0))</f>
        <v>0</v>
      </c>
      <c r="D86" s="143">
        <f t="array" ref="D86">SUM(IF('2014-2017 Projects'!$A$6:$A$277="Chief Operations Officer",'2014-2017 Projects'!$AG$6:$AG$277,0))</f>
        <v>0</v>
      </c>
      <c r="E86" s="143">
        <f t="array" ref="E86">SUM(IF('2014-2017 Projects'!$A$6:$A$277="Chief Operations Officer",'2014-2017 Projects'!$AH$6:$AH$277,0))</f>
        <v>0</v>
      </c>
      <c r="F86" s="143">
        <f t="array" ref="F86">SUM(IF('2014-2017 Projects'!$A$6:$A$277="Chief Operations Officer",'2014-2017 Projects'!$AI$6:$AI$277,0))</f>
        <v>0</v>
      </c>
      <c r="G86" s="143">
        <f t="array" ref="G86">SUM(IF('2014-2017 Projects'!$A$6:$A$277="Chief Operations Officer",'2014-2017 Projects'!$AG$6:$AG$277,0))</f>
        <v>0</v>
      </c>
      <c r="H86" s="143"/>
      <c r="I86" s="143"/>
      <c r="J86" s="143"/>
      <c r="K86" s="143"/>
      <c r="L86" s="143"/>
      <c r="M86" s="143"/>
      <c r="N86" s="143"/>
      <c r="O86" s="143"/>
      <c r="P86" s="143"/>
      <c r="Q86" s="143"/>
      <c r="R86" s="143"/>
      <c r="S86" s="143"/>
      <c r="T86" s="143"/>
      <c r="U86" s="143"/>
      <c r="V86" s="143"/>
      <c r="W86" s="143"/>
      <c r="X86" s="143"/>
      <c r="Y86" s="143"/>
      <c r="Z86" s="143"/>
      <c r="AA86" s="143"/>
      <c r="AB86" s="143"/>
      <c r="AC86" s="143"/>
      <c r="AD86" s="143"/>
      <c r="AE86" s="143"/>
      <c r="AF86" s="143"/>
      <c r="AG86" s="143"/>
      <c r="AH86" s="143"/>
      <c r="AI86" s="143"/>
      <c r="AJ86" s="143"/>
      <c r="AK86" s="143"/>
      <c r="AL86" s="143"/>
      <c r="AM86" s="390"/>
      <c r="AN86" s="390"/>
      <c r="AO86" s="156"/>
      <c r="AP86" s="156"/>
      <c r="AQ86" s="156"/>
      <c r="AR86" s="156"/>
      <c r="AS86" s="156"/>
      <c r="AT86" s="307"/>
      <c r="AU86" s="323"/>
      <c r="AV86" s="323"/>
      <c r="AW86" s="323"/>
      <c r="AX86" s="154"/>
    </row>
    <row r="87" spans="1:50" s="132" customFormat="1" x14ac:dyDescent="0.2">
      <c r="A87" s="169"/>
      <c r="B87" s="143">
        <f t="array" ref="B87">SUM(IF('2014-2017 Projects'!$A$6:$A$277="Financial Services",'2014-2017 Projects'!$AG$6:$AG$277,0))</f>
        <v>0</v>
      </c>
      <c r="C87" s="143">
        <f t="array" ref="C87">SUM(IF('2014-2017 Projects'!$A$6:$A$277="Financial Services",'2014-2017 Projects'!$AG$6:$AG$277,0))</f>
        <v>0</v>
      </c>
      <c r="D87" s="143">
        <f t="array" ref="D87">SUM(IF('2014-2017 Projects'!$A$6:$A$277="Financial Services",'2014-2017 Projects'!$AG$6:$AG$277,0))</f>
        <v>0</v>
      </c>
      <c r="E87" s="143">
        <f t="array" ref="E87">SUM(IF('2014-2017 Projects'!$A$6:$A$277="Financial Services",'2014-2017 Projects'!$AH$6:$AH$277,0))</f>
        <v>0</v>
      </c>
      <c r="F87" s="143">
        <f t="array" ref="F87">SUM(IF('2014-2017 Projects'!$A$6:$A$277="Financial Services",'2014-2017 Projects'!$AI$6:$AI$277,0))</f>
        <v>0</v>
      </c>
      <c r="G87" s="143"/>
      <c r="H87" s="143">
        <f t="shared" ref="H87:AL87" si="48">SUM(H25:H85)</f>
        <v>942007423</v>
      </c>
      <c r="I87" s="143">
        <f t="shared" si="48"/>
        <v>1056484706</v>
      </c>
      <c r="J87" s="143">
        <f t="shared" si="48"/>
        <v>4279296.1500000004</v>
      </c>
      <c r="K87" s="143">
        <f t="shared" si="48"/>
        <v>4585291.8000000007</v>
      </c>
      <c r="L87" s="143">
        <f t="shared" si="48"/>
        <v>36998451.880000003</v>
      </c>
      <c r="M87" s="143">
        <f t="shared" si="48"/>
        <v>40732237.590000004</v>
      </c>
      <c r="N87" s="143">
        <f t="shared" ref="N87:O87" si="49">SUM(N25:N85)</f>
        <v>63771348.909999996</v>
      </c>
      <c r="O87" s="143">
        <f t="shared" si="49"/>
        <v>69010776.279999986</v>
      </c>
      <c r="P87" s="143">
        <f t="shared" ref="P87:Q87" si="50">SUM(P25:P85)</f>
        <v>82385306.629999995</v>
      </c>
      <c r="Q87" s="143">
        <f t="shared" si="50"/>
        <v>89033634.960000008</v>
      </c>
      <c r="R87" s="143">
        <f t="shared" si="48"/>
        <v>0</v>
      </c>
      <c r="S87" s="143">
        <f t="shared" si="48"/>
        <v>0</v>
      </c>
      <c r="T87" s="143">
        <f t="shared" si="48"/>
        <v>0</v>
      </c>
      <c r="U87" s="143">
        <f t="shared" si="48"/>
        <v>0</v>
      </c>
      <c r="V87" s="143">
        <f t="shared" si="48"/>
        <v>0</v>
      </c>
      <c r="W87" s="143">
        <f t="shared" si="48"/>
        <v>0</v>
      </c>
      <c r="X87" s="143">
        <f t="shared" si="48"/>
        <v>0</v>
      </c>
      <c r="Y87" s="143">
        <f t="shared" si="48"/>
        <v>0</v>
      </c>
      <c r="Z87" s="143">
        <f t="shared" si="48"/>
        <v>0</v>
      </c>
      <c r="AA87" s="143">
        <f t="shared" si="48"/>
        <v>0</v>
      </c>
      <c r="AB87" s="143">
        <f t="shared" si="48"/>
        <v>0</v>
      </c>
      <c r="AC87" s="143">
        <f t="shared" si="48"/>
        <v>0</v>
      </c>
      <c r="AD87" s="143">
        <f t="shared" si="48"/>
        <v>0</v>
      </c>
      <c r="AE87" s="143">
        <f t="shared" si="48"/>
        <v>0</v>
      </c>
      <c r="AF87" s="143">
        <f t="shared" si="48"/>
        <v>0</v>
      </c>
      <c r="AG87" s="143">
        <f t="shared" si="48"/>
        <v>0</v>
      </c>
      <c r="AH87" s="143">
        <f t="shared" si="48"/>
        <v>187434403.57000002</v>
      </c>
      <c r="AI87" s="143">
        <f t="shared" si="48"/>
        <v>203361940.63</v>
      </c>
      <c r="AJ87" s="143">
        <f t="shared" si="48"/>
        <v>87463038.98999998</v>
      </c>
      <c r="AK87" s="143">
        <f t="shared" si="48"/>
        <v>869050302.43000031</v>
      </c>
      <c r="AL87" s="143">
        <f t="shared" si="48"/>
        <v>853122765.37000012</v>
      </c>
      <c r="AM87" s="390">
        <f>AH87/H87</f>
        <v>0.19897338279254731</v>
      </c>
      <c r="AN87" s="390">
        <f>AI87/H87</f>
        <v>0.21588146299564775</v>
      </c>
      <c r="AO87" s="156"/>
      <c r="AP87" s="156"/>
      <c r="AQ87" s="156"/>
      <c r="AR87" s="156"/>
      <c r="AS87" s="156"/>
      <c r="AT87" s="307"/>
      <c r="AU87" s="323"/>
      <c r="AV87" s="323"/>
      <c r="AW87" s="323"/>
      <c r="AX87" s="154"/>
    </row>
    <row r="88" spans="1:50" s="132" customFormat="1" x14ac:dyDescent="0.2">
      <c r="A88" s="155"/>
      <c r="B88" s="156"/>
      <c r="C88" s="156"/>
      <c r="D88" s="156"/>
      <c r="E88" s="156"/>
      <c r="F88" s="277"/>
      <c r="G88" s="156"/>
      <c r="H88" s="156"/>
      <c r="I88" s="156"/>
      <c r="J88" s="156"/>
      <c r="K88" s="156"/>
      <c r="L88" s="156"/>
      <c r="M88" s="156"/>
      <c r="N88" s="156"/>
      <c r="O88" s="156"/>
      <c r="P88" s="156"/>
      <c r="Q88" s="156"/>
      <c r="R88" s="156"/>
      <c r="S88" s="156"/>
      <c r="T88" s="156"/>
      <c r="U88" s="156"/>
      <c r="V88" s="156"/>
      <c r="W88" s="156"/>
      <c r="X88" s="156"/>
      <c r="Y88" s="156"/>
      <c r="Z88" s="156"/>
      <c r="AA88" s="156"/>
      <c r="AB88" s="156"/>
      <c r="AC88" s="156"/>
      <c r="AD88" s="156"/>
      <c r="AE88" s="156"/>
      <c r="AF88" s="156"/>
      <c r="AG88" s="156"/>
      <c r="AH88" s="156"/>
      <c r="AI88" s="156"/>
      <c r="AJ88" s="156"/>
      <c r="AK88" s="156"/>
      <c r="AL88" s="156"/>
      <c r="AM88" s="393"/>
      <c r="AN88" s="393"/>
      <c r="AO88" s="156"/>
      <c r="AP88" s="156"/>
      <c r="AQ88" s="156"/>
      <c r="AR88" s="156"/>
      <c r="AS88" s="156"/>
      <c r="AT88" s="307"/>
      <c r="AU88" s="323"/>
      <c r="AV88" s="323"/>
      <c r="AW88" s="323"/>
      <c r="AX88" s="154"/>
    </row>
    <row r="89" spans="1:50" s="132" customFormat="1" x14ac:dyDescent="0.2">
      <c r="A89" s="155"/>
      <c r="B89" s="156"/>
      <c r="C89" s="156"/>
      <c r="D89" s="156"/>
      <c r="E89" s="156"/>
      <c r="F89" s="277"/>
      <c r="G89" s="156"/>
      <c r="H89" s="156"/>
      <c r="I89" s="156">
        <f>I118</f>
        <v>1056484706</v>
      </c>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6"/>
      <c r="AI89" s="156"/>
      <c r="AJ89" s="156"/>
      <c r="AK89" s="156"/>
      <c r="AL89" s="156"/>
      <c r="AM89" s="393"/>
      <c r="AN89" s="393"/>
      <c r="AO89" s="156"/>
      <c r="AP89" s="156"/>
      <c r="AQ89" s="156"/>
      <c r="AR89" s="156"/>
      <c r="AS89" s="156"/>
      <c r="AT89" s="307"/>
      <c r="AU89" s="323"/>
      <c r="AV89" s="323"/>
      <c r="AW89" s="323"/>
      <c r="AX89" s="154"/>
    </row>
    <row r="90" spans="1:50" s="132" customFormat="1" x14ac:dyDescent="0.2">
      <c r="A90" s="155"/>
      <c r="B90" s="156"/>
      <c r="C90" s="156"/>
      <c r="D90" s="156"/>
      <c r="E90" s="156"/>
      <c r="F90" s="277"/>
      <c r="G90" s="156"/>
      <c r="H90" s="156">
        <v>942007423</v>
      </c>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393"/>
      <c r="AN90" s="393"/>
      <c r="AO90" s="156"/>
      <c r="AP90" s="156"/>
      <c r="AQ90" s="156"/>
      <c r="AR90" s="156"/>
      <c r="AS90" s="156"/>
      <c r="AT90" s="307"/>
      <c r="AU90" s="323"/>
      <c r="AV90" s="323"/>
      <c r="AW90" s="323"/>
      <c r="AX90" s="154"/>
    </row>
    <row r="91" spans="1:50" s="132" customFormat="1" x14ac:dyDescent="0.2">
      <c r="A91" s="155"/>
      <c r="B91" s="156"/>
      <c r="C91" s="156"/>
      <c r="D91" s="156"/>
      <c r="E91" s="156"/>
      <c r="F91" s="277"/>
      <c r="G91" s="156"/>
      <c r="H91" s="156"/>
      <c r="I91" s="322">
        <f>I89-I87</f>
        <v>0</v>
      </c>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6"/>
      <c r="AI91" s="156"/>
      <c r="AJ91" s="156"/>
      <c r="AK91" s="156"/>
      <c r="AL91" s="156"/>
      <c r="AM91" s="393"/>
      <c r="AN91" s="393"/>
      <c r="AO91" s="156"/>
      <c r="AP91" s="156"/>
      <c r="AQ91" s="156"/>
      <c r="AR91" s="156"/>
      <c r="AS91" s="156"/>
      <c r="AT91" s="307"/>
      <c r="AU91" s="323"/>
      <c r="AV91" s="323"/>
      <c r="AW91" s="323"/>
      <c r="AX91" s="154"/>
    </row>
    <row r="92" spans="1:50" s="132" customFormat="1" x14ac:dyDescent="0.2">
      <c r="A92" s="155"/>
      <c r="B92" s="156"/>
      <c r="C92" s="156"/>
      <c r="D92" s="156"/>
      <c r="E92" s="156"/>
      <c r="F92" s="277"/>
      <c r="G92" s="156"/>
      <c r="H92" s="322">
        <f>H90-H87</f>
        <v>0</v>
      </c>
      <c r="I92" s="322"/>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393"/>
      <c r="AN92" s="393"/>
      <c r="AO92" s="156"/>
      <c r="AP92" s="156"/>
      <c r="AQ92" s="156"/>
      <c r="AR92" s="156"/>
      <c r="AS92" s="156"/>
      <c r="AT92" s="307"/>
      <c r="AU92" s="323"/>
      <c r="AV92" s="323"/>
      <c r="AW92" s="323"/>
      <c r="AX92" s="154"/>
    </row>
    <row r="93" spans="1:50" s="132" customFormat="1" ht="72" x14ac:dyDescent="0.2">
      <c r="A93" s="402" t="s">
        <v>659</v>
      </c>
      <c r="B93" s="137" t="s">
        <v>298</v>
      </c>
      <c r="C93" s="137" t="s">
        <v>299</v>
      </c>
      <c r="D93" s="137" t="s">
        <v>300</v>
      </c>
      <c r="E93" s="137" t="s">
        <v>291</v>
      </c>
      <c r="F93" s="137" t="s">
        <v>292</v>
      </c>
      <c r="G93" s="139" t="s">
        <v>301</v>
      </c>
      <c r="H93" s="139" t="s">
        <v>615</v>
      </c>
      <c r="I93" s="139" t="s">
        <v>695</v>
      </c>
      <c r="J93" s="389" t="s">
        <v>589</v>
      </c>
      <c r="K93" s="389" t="s">
        <v>590</v>
      </c>
      <c r="L93" s="389" t="s">
        <v>591</v>
      </c>
      <c r="M93" s="389" t="s">
        <v>592</v>
      </c>
      <c r="N93" s="389" t="s">
        <v>593</v>
      </c>
      <c r="O93" s="389" t="s">
        <v>594</v>
      </c>
      <c r="P93" s="389" t="s">
        <v>595</v>
      </c>
      <c r="Q93" s="389" t="s">
        <v>596</v>
      </c>
      <c r="R93" s="389" t="s">
        <v>597</v>
      </c>
      <c r="S93" s="389" t="s">
        <v>598</v>
      </c>
      <c r="T93" s="389" t="s">
        <v>599</v>
      </c>
      <c r="U93" s="389" t="s">
        <v>600</v>
      </c>
      <c r="V93" s="389" t="s">
        <v>602</v>
      </c>
      <c r="W93" s="389" t="s">
        <v>603</v>
      </c>
      <c r="X93" s="389" t="s">
        <v>604</v>
      </c>
      <c r="Y93" s="389" t="s">
        <v>605</v>
      </c>
      <c r="Z93" s="389" t="s">
        <v>606</v>
      </c>
      <c r="AA93" s="389" t="s">
        <v>607</v>
      </c>
      <c r="AB93" s="389" t="s">
        <v>609</v>
      </c>
      <c r="AC93" s="389" t="s">
        <v>608</v>
      </c>
      <c r="AD93" s="389" t="s">
        <v>610</v>
      </c>
      <c r="AE93" s="389" t="s">
        <v>611</v>
      </c>
      <c r="AF93" s="389" t="s">
        <v>612</v>
      </c>
      <c r="AG93" s="389" t="s">
        <v>613</v>
      </c>
      <c r="AH93" s="389" t="s">
        <v>203</v>
      </c>
      <c r="AI93" s="389" t="s">
        <v>617</v>
      </c>
      <c r="AJ93" s="389" t="s">
        <v>220</v>
      </c>
      <c r="AK93" s="389" t="s">
        <v>618</v>
      </c>
      <c r="AL93" s="389" t="s">
        <v>619</v>
      </c>
      <c r="AM93" s="389" t="s">
        <v>620</v>
      </c>
      <c r="AN93" s="389" t="s">
        <v>621</v>
      </c>
      <c r="AO93" s="156"/>
      <c r="AP93" s="156"/>
      <c r="AQ93" s="156"/>
      <c r="AR93" s="156"/>
      <c r="AS93" s="156"/>
      <c r="AT93" s="307"/>
      <c r="AU93" s="323"/>
      <c r="AV93" s="323"/>
      <c r="AW93" s="323"/>
      <c r="AX93" s="154"/>
    </row>
    <row r="94" spans="1:50" x14ac:dyDescent="0.2">
      <c r="A94" s="170"/>
      <c r="B94" s="300"/>
      <c r="C94" s="300"/>
      <c r="D94" s="300"/>
      <c r="E94" s="300"/>
      <c r="F94" s="300"/>
      <c r="G94" s="171"/>
      <c r="H94" s="172"/>
      <c r="I94" s="172"/>
      <c r="J94" s="172"/>
      <c r="K94" s="172"/>
      <c r="L94" s="172"/>
      <c r="M94" s="172"/>
      <c r="N94" s="172"/>
      <c r="O94" s="172"/>
      <c r="P94" s="172"/>
      <c r="Q94" s="172"/>
      <c r="R94" s="172"/>
      <c r="S94" s="172"/>
      <c r="T94" s="172"/>
      <c r="U94" s="172"/>
      <c r="V94" s="172"/>
      <c r="W94" s="172"/>
      <c r="X94" s="172"/>
      <c r="Y94" s="172"/>
      <c r="Z94" s="172"/>
      <c r="AA94" s="172"/>
      <c r="AB94" s="172"/>
      <c r="AC94" s="172"/>
      <c r="AD94" s="172"/>
      <c r="AE94" s="172"/>
      <c r="AF94" s="172"/>
      <c r="AG94" s="172"/>
      <c r="AH94" s="172"/>
      <c r="AI94" s="172"/>
      <c r="AJ94" s="172"/>
      <c r="AK94" s="172"/>
      <c r="AL94" s="172"/>
      <c r="AM94" s="172"/>
      <c r="AN94" s="172"/>
      <c r="AO94" s="172"/>
      <c r="AP94" s="172"/>
    </row>
    <row r="95" spans="1:50" ht="13.5" x14ac:dyDescent="0.25">
      <c r="A95" s="173" t="s">
        <v>320</v>
      </c>
      <c r="B95" s="174"/>
      <c r="C95" s="174"/>
      <c r="D95" s="174"/>
      <c r="E95" s="174"/>
      <c r="F95" s="174"/>
      <c r="G95" s="174"/>
      <c r="H95" s="174"/>
      <c r="I95" s="174"/>
      <c r="J95" s="174"/>
      <c r="K95" s="174"/>
      <c r="L95" s="174"/>
      <c r="M95" s="174"/>
      <c r="N95" s="174"/>
      <c r="O95" s="174"/>
      <c r="P95" s="174"/>
      <c r="Q95" s="174"/>
      <c r="R95" s="174"/>
      <c r="S95" s="174"/>
      <c r="T95" s="174"/>
      <c r="U95" s="174"/>
      <c r="V95" s="174"/>
      <c r="W95" s="174"/>
      <c r="X95" s="174"/>
      <c r="Y95" s="174"/>
      <c r="Z95" s="174"/>
      <c r="AA95" s="174"/>
      <c r="AB95" s="174"/>
      <c r="AC95" s="174"/>
      <c r="AD95" s="174"/>
      <c r="AE95" s="174"/>
      <c r="AF95" s="174"/>
      <c r="AG95" s="174"/>
      <c r="AH95" s="174"/>
      <c r="AI95" s="174"/>
      <c r="AJ95" s="174"/>
      <c r="AK95" s="174"/>
      <c r="AL95" s="174"/>
      <c r="AM95" s="174"/>
      <c r="AN95" s="174"/>
      <c r="AO95" s="174"/>
      <c r="AP95" s="174"/>
    </row>
    <row r="96" spans="1:50" s="414" customFormat="1" ht="13.5" x14ac:dyDescent="0.25">
      <c r="A96" s="176" t="s">
        <v>321</v>
      </c>
      <c r="B96" s="177" t="e">
        <f>SUM(B97:B99)</f>
        <v>#REF!</v>
      </c>
      <c r="C96" s="177" t="e">
        <f>SUM(C97:C99)</f>
        <v>#REF!</v>
      </c>
      <c r="D96" s="177" t="e">
        <f>SUM(D97:D99)</f>
        <v>#REF!</v>
      </c>
      <c r="E96" s="177" t="e">
        <f>SUM(E97:E99)</f>
        <v>#REF!</v>
      </c>
      <c r="F96" s="177" t="e">
        <f>SUM(F97:F99)</f>
        <v>#REF!</v>
      </c>
      <c r="G96" s="177"/>
      <c r="H96" s="413">
        <f>SUM(H97:H99)</f>
        <v>34950000</v>
      </c>
      <c r="I96" s="413">
        <f>SUM(I97:I99)</f>
        <v>49765292</v>
      </c>
      <c r="J96" s="413">
        <f t="shared" ref="J96:AJ96" si="51">SUM(J97:J99)</f>
        <v>19074.32</v>
      </c>
      <c r="K96" s="413">
        <f t="shared" si="51"/>
        <v>19074.32</v>
      </c>
      <c r="L96" s="413">
        <f t="shared" si="51"/>
        <v>170805</v>
      </c>
      <c r="M96" s="413">
        <f t="shared" si="51"/>
        <v>194717.7</v>
      </c>
      <c r="N96" s="413">
        <f t="shared" si="51"/>
        <v>711244.23</v>
      </c>
      <c r="O96" s="413">
        <f t="shared" si="51"/>
        <v>711244.23</v>
      </c>
      <c r="P96" s="413">
        <f t="shared" ref="P96:Q96" si="52">SUM(P97:P99)</f>
        <v>3364195.78</v>
      </c>
      <c r="Q96" s="413">
        <f t="shared" si="52"/>
        <v>3740957.9899999998</v>
      </c>
      <c r="R96" s="413">
        <f t="shared" si="51"/>
        <v>0</v>
      </c>
      <c r="S96" s="413">
        <f t="shared" si="51"/>
        <v>0</v>
      </c>
      <c r="T96" s="413">
        <f t="shared" si="51"/>
        <v>0</v>
      </c>
      <c r="U96" s="413">
        <f t="shared" si="51"/>
        <v>0</v>
      </c>
      <c r="V96" s="413">
        <f t="shared" si="51"/>
        <v>0</v>
      </c>
      <c r="W96" s="413">
        <f t="shared" si="51"/>
        <v>0</v>
      </c>
      <c r="X96" s="413">
        <f t="shared" si="51"/>
        <v>0</v>
      </c>
      <c r="Y96" s="413">
        <f t="shared" si="51"/>
        <v>0</v>
      </c>
      <c r="Z96" s="413">
        <f t="shared" si="51"/>
        <v>0</v>
      </c>
      <c r="AA96" s="413">
        <f t="shared" si="51"/>
        <v>0</v>
      </c>
      <c r="AB96" s="413">
        <f t="shared" si="51"/>
        <v>0</v>
      </c>
      <c r="AC96" s="413">
        <f t="shared" si="51"/>
        <v>0</v>
      </c>
      <c r="AD96" s="413">
        <f t="shared" si="51"/>
        <v>0</v>
      </c>
      <c r="AE96" s="413">
        <f t="shared" si="51"/>
        <v>0</v>
      </c>
      <c r="AF96" s="413">
        <f t="shared" si="51"/>
        <v>0</v>
      </c>
      <c r="AG96" s="413">
        <f t="shared" si="51"/>
        <v>0</v>
      </c>
      <c r="AH96" s="413">
        <f t="shared" si="51"/>
        <v>4265319.33</v>
      </c>
      <c r="AI96" s="413">
        <f t="shared" si="51"/>
        <v>4665994.24</v>
      </c>
      <c r="AJ96" s="413">
        <f t="shared" si="51"/>
        <v>1091667.77</v>
      </c>
      <c r="AK96" s="413">
        <f>SUM(AK97:AK99)</f>
        <v>45499972.670000002</v>
      </c>
      <c r="AL96" s="413">
        <f>SUM(AL97:AL99)</f>
        <v>45099297.760000005</v>
      </c>
      <c r="AM96" s="404">
        <f t="shared" ref="AM96:AM115" si="53">AH96/H96</f>
        <v>0.12204061030042919</v>
      </c>
      <c r="AN96" s="404">
        <f t="shared" ref="AN96:AN115" si="54">AI96/H96</f>
        <v>0.13350484234620888</v>
      </c>
      <c r="AO96" s="177">
        <f>SUM(AO97:AO99)</f>
        <v>53478000</v>
      </c>
      <c r="AP96" s="177">
        <f>SUM(AP97:AP99)</f>
        <v>50944000</v>
      </c>
      <c r="AQ96" s="140"/>
      <c r="AS96" s="415"/>
      <c r="AT96" s="415"/>
      <c r="AU96" s="416"/>
      <c r="AV96" s="416"/>
      <c r="AW96" s="416"/>
    </row>
    <row r="97" spans="1:49" ht="13.5" x14ac:dyDescent="0.25">
      <c r="A97" s="178" t="s">
        <v>29</v>
      </c>
      <c r="B97" s="179" t="e">
        <f t="array" ref="B97">SUM(IF('[5]2013-2016 Projects'!$D$4:$D$202="Executive and council",'[5]2013-2016 Projects'!$V$4:$V$202,0))</f>
        <v>#REF!</v>
      </c>
      <c r="C97" s="179" t="e">
        <f t="array" ref="C97">SUM(IF('[5]2013-2016 Projects'!$D$4:$D$202="Executive and council",'[5]2013-2016 Projects'!$V$4:$V$202,0))</f>
        <v>#REF!</v>
      </c>
      <c r="D97" s="179" t="e">
        <f t="array" ref="D97">SUM(IF('[5]2013-2016 Projects'!$D$4:$D$202="Executive and council",'[5]2013-2016 Projects'!$V$4:$V$202,0))</f>
        <v>#REF!</v>
      </c>
      <c r="E97" s="179" t="e">
        <f t="array" ref="E97">SUM(IF('[5]2013-2016 Projects'!$D$4:$D$202="Executive and council",'[5]2013-2016 Projects'!$V$4:$V$202,0))</f>
        <v>#REF!</v>
      </c>
      <c r="F97" s="179" t="e">
        <f t="array" ref="F97">SUM(IF('[5]2013-2016 Projects'!$D$4:$D$202="Executive and council",'[5]2013-2016 Projects'!$V$4:$V$202,0))</f>
        <v>#REF!</v>
      </c>
      <c r="G97" s="179"/>
      <c r="H97" s="143">
        <f t="array" ref="H97">SUM(IF('2014-2017 Projects'!$I$5:$I$256="Executive and council",'2014-2017 Projects'!$AK$5:$AK$256,0))</f>
        <v>7500000</v>
      </c>
      <c r="I97" s="143">
        <f t="array" ref="I97">SUM(IF('2014-2017 Projects'!$I$5:$I$256="Executive and council",'2014-2017 Projects'!$AM$5:$AM$256,0))</f>
        <v>13729257</v>
      </c>
      <c r="J97" s="143">
        <f t="array" ref="J97">SUM(IF('2014-2017 Projects'!$I$5:$I$256="Executive and council",'2014-2017 Projects'!$AN$5:$AN$256,0))</f>
        <v>0</v>
      </c>
      <c r="K97" s="143">
        <f t="array" ref="K97">SUM(IF('2014-2017 Projects'!$I$5:$I$256="Executive and council",'2014-2017 Projects'!$AP$5:$AP$256,0))</f>
        <v>0</v>
      </c>
      <c r="L97" s="143">
        <f t="array" ref="L97">SUM(IF('2014-2017 Projects'!$I$5:$I$256="Executive and council",'2014-2017 Projects'!$AQ$5:$AQ$256,0))</f>
        <v>170805</v>
      </c>
      <c r="M97" s="143">
        <f t="array" ref="M97">SUM(IF('2014-2017 Projects'!$I$5:$I$256="Executive and council",'2014-2017 Projects'!$AS$5:$AS$256,0))</f>
        <v>194717.7</v>
      </c>
      <c r="N97" s="143">
        <f t="array" ref="N97">SUM(IF('2014-2017 Projects'!$I$5:$I$256="Executive and council",'2014-2017 Projects'!$AT$5:$AT$256,0))</f>
        <v>107792</v>
      </c>
      <c r="O97" s="143">
        <f t="array" ref="O97">SUM(IF('2014-2017 Projects'!$I$5:$I$256="Executive and council",'2014-2017 Projects'!$AV$5:$AV$256,0))</f>
        <v>107792</v>
      </c>
      <c r="P97" s="143">
        <f t="array" ref="P97">SUM(IF('2014-2017 Projects'!$I$5:$I$256="Executive and council",'2014-2017 Projects'!$AW$5:$AW$256,0))</f>
        <v>2992460.09</v>
      </c>
      <c r="Q97" s="143">
        <f t="array" ref="Q97">SUM(IF('2014-2017 Projects'!$I$5:$I$256="Executive and council",'2014-2017 Projects'!$AY$5:$AY$256,0))</f>
        <v>3369222.3</v>
      </c>
      <c r="R97" s="143"/>
      <c r="S97" s="143"/>
      <c r="T97" s="143"/>
      <c r="U97" s="143"/>
      <c r="V97" s="143"/>
      <c r="W97" s="143"/>
      <c r="X97" s="143"/>
      <c r="Y97" s="143"/>
      <c r="Z97" s="143"/>
      <c r="AA97" s="143"/>
      <c r="AB97" s="143"/>
      <c r="AC97" s="143"/>
      <c r="AD97" s="143"/>
      <c r="AE97" s="143"/>
      <c r="AF97" s="143"/>
      <c r="AG97" s="143"/>
      <c r="AH97" s="143">
        <f t="array" ref="AH97">SUM(IF('2014-2017 Projects'!$I$5:$I$256="Executive and council",'2014-2017 Projects'!$BY$5:$BY$256,0))</f>
        <v>3271057.09</v>
      </c>
      <c r="AI97" s="143">
        <f t="array" ref="AI97">SUM(IF('2014-2017 Projects'!$I$5:$I$256="Executive and council",'2014-2017 Projects'!$BZ$5:$BZ$256,0))</f>
        <v>3671732</v>
      </c>
      <c r="AJ97" s="143">
        <f t="array" ref="AJ97">SUM(IF('2014-2017 Projects'!$I$5:$I$256="Executive and council",'2014-2017 Projects'!$BX$5:$BX$256,0))</f>
        <v>324654.08999999997</v>
      </c>
      <c r="AK97" s="143">
        <f>I97-AH97</f>
        <v>10458199.91</v>
      </c>
      <c r="AL97" s="143">
        <f>I97-AI97</f>
        <v>10057525</v>
      </c>
      <c r="AM97" s="405">
        <f t="shared" si="53"/>
        <v>0.43614094533333331</v>
      </c>
      <c r="AN97" s="405">
        <f t="shared" si="54"/>
        <v>0.48956426666666669</v>
      </c>
      <c r="AO97" s="179">
        <f t="array" ref="AO97">SUM(IF('2014-2017 Projects'!$I$5:$I$256="Executive and council",'2014-2017 Projects'!$CG$5:$CG$256,0))</f>
        <v>19378000</v>
      </c>
      <c r="AP97" s="179">
        <f t="array" ref="AP97">SUM(IF('2014-2017 Projects'!$I$5:$I$140="Executive and council",'2014-2017 Projects'!$CH$5:$CH$140,0))</f>
        <v>20244000</v>
      </c>
    </row>
    <row r="98" spans="1:49" ht="13.5" x14ac:dyDescent="0.25">
      <c r="A98" s="178" t="s">
        <v>322</v>
      </c>
      <c r="B98" s="179" t="e">
        <f t="array" ref="B98">SUM(IF('[5]2013-2016 Projects'!$D$4:$D$202="Budget and treasury office",'[5]2013-2016 Projects'!$V$4:$V$202,0))</f>
        <v>#REF!</v>
      </c>
      <c r="C98" s="179" t="e">
        <f t="array" ref="C98">SUM(IF('[5]2013-2016 Projects'!$D$4:$D$202="Budget and treasury office",'[5]2013-2016 Projects'!$V$4:$V$202,0))</f>
        <v>#REF!</v>
      </c>
      <c r="D98" s="179" t="e">
        <f t="array" ref="D98">SUM(IF('[5]2013-2016 Projects'!$D$4:$D$202="Budget and treasury office",'[5]2013-2016 Projects'!$V$4:$V$202,0))</f>
        <v>#REF!</v>
      </c>
      <c r="E98" s="179" t="e">
        <f t="array" ref="E98">SUM(IF('[5]2013-2016 Projects'!$D$4:$D$202="Budget and treasury office",'[5]2013-2016 Projects'!$V$4:$V$202,0))</f>
        <v>#REF!</v>
      </c>
      <c r="F98" s="179" t="e">
        <f t="array" ref="F98">SUM(IF('[5]2013-2016 Projects'!$D$4:$D$202="Budget and treasury office",'[5]2013-2016 Projects'!$V$4:$V$202,0))</f>
        <v>#REF!</v>
      </c>
      <c r="G98" s="179"/>
      <c r="H98" s="143">
        <f t="array" ref="H98">SUM(IF('2014-2017 Projects'!$I$5:$I$256="Budget and treasury",'2014-2017 Projects'!$AK$5:$AK$256,0))</f>
        <v>12350000</v>
      </c>
      <c r="I98" s="143">
        <f t="array" ref="I98">SUM(IF('2014-2017 Projects'!$I$5:$I$256="Budget and treasury",'2014-2017 Projects'!$AM$5:$AM$256,0))</f>
        <v>12769902</v>
      </c>
      <c r="J98" s="143">
        <f t="array" ref="J98">SUM(IF('2014-2017 Projects'!$I$5:$I$256="Budget and treasury",'2014-2017 Projects'!$AN$5:$AN$256,0))</f>
        <v>19074.32</v>
      </c>
      <c r="K98" s="143">
        <f t="array" ref="K98">SUM(IF('2014-2017 Projects'!$I$5:$I$256="Budget and treasury",'2014-2017 Projects'!$AP$5:$AP$256,0))</f>
        <v>19074.32</v>
      </c>
      <c r="L98" s="143">
        <f t="array" ref="L98">SUM(IF('2014-2017 Projects'!$I$5:$I$256="Budget and treasury",'2014-2017 Projects'!$AQ$5:$AQ$256,0))</f>
        <v>0</v>
      </c>
      <c r="M98" s="143">
        <f t="array" ref="M98">SUM(IF('2014-2017 Projects'!$I$5:$I$256="Budget and treasury",'2014-2017 Projects'!$AS$5:$AS$256,0))</f>
        <v>0</v>
      </c>
      <c r="N98" s="143">
        <f t="array" ref="N98">SUM(IF('2014-2017 Projects'!$I$5:$I$256="Budget and treasury",'2014-2017 Projects'!$AT$5:$AT$256,0))</f>
        <v>13675.44</v>
      </c>
      <c r="O98" s="143">
        <f t="array" ref="O98">SUM(IF('2014-2017 Projects'!$I$5:$I$256="Budget and treasury",'2014-2017 Projects'!$AV$5:$AV$256,0))</f>
        <v>13675.44</v>
      </c>
      <c r="P98" s="143">
        <f t="array" ref="P98">SUM(IF('2014-2017 Projects'!$I$5:$I$256="Budget and treasury",'2014-2017 Projects'!$AW$5:$AW$256,0))</f>
        <v>17870</v>
      </c>
      <c r="Q98" s="143">
        <f t="array" ref="Q98">SUM(IF('2014-2017 Projects'!$I$5:$I$256="Budget and treasury",'2014-2017 Projects'!$AY$5:$AY$256,0))</f>
        <v>17870</v>
      </c>
      <c r="R98" s="143"/>
      <c r="S98" s="143"/>
      <c r="T98" s="143"/>
      <c r="U98" s="143"/>
      <c r="V98" s="143"/>
      <c r="W98" s="143"/>
      <c r="X98" s="143"/>
      <c r="Y98" s="143"/>
      <c r="Z98" s="143"/>
      <c r="AA98" s="143"/>
      <c r="AB98" s="143"/>
      <c r="AC98" s="143"/>
      <c r="AD98" s="143"/>
      <c r="AE98" s="143"/>
      <c r="AF98" s="143"/>
      <c r="AG98" s="143"/>
      <c r="AH98" s="143">
        <f t="array" ref="AH98">SUM(IF('2014-2017 Projects'!$I$5:$I$256="Budget and treasury",'2014-2017 Projects'!$BY$5:$BY$256,0))</f>
        <v>50619.76</v>
      </c>
      <c r="AI98" s="143">
        <f t="array" ref="AI98">SUM(IF('2014-2017 Projects'!$I$5:$I$256="Budget and treasury",'2014-2017 Projects'!$BZ$5:$BZ$256,0))</f>
        <v>50619.76</v>
      </c>
      <c r="AJ98" s="143">
        <f t="array" ref="AJ98">SUM(IF('2014-2017 Projects'!$I$5:$I$256="Budget and treasury",'2014-2017 Projects'!$BX$5:$BX$256,0))</f>
        <v>120336.18000000001</v>
      </c>
      <c r="AK98" s="143">
        <f t="shared" ref="AK98:AK114" si="55">I98-AH98</f>
        <v>12719282.24</v>
      </c>
      <c r="AL98" s="143">
        <f t="shared" ref="AL98:AL104" si="56">I98-AI98</f>
        <v>12719282.24</v>
      </c>
      <c r="AM98" s="405">
        <f t="shared" si="53"/>
        <v>4.098765991902834E-3</v>
      </c>
      <c r="AN98" s="405">
        <f t="shared" si="54"/>
        <v>4.098765991902834E-3</v>
      </c>
      <c r="AO98" s="179">
        <f t="array" ref="AO98">SUM(IF('2014-2017 Projects'!$I$5:$I$256="Budget and treasury",'2014-2017 Projects'!$CG$5:$CG$256,0))</f>
        <v>12000000</v>
      </c>
      <c r="AP98" s="179">
        <f t="array" ref="AP98">SUM(IF('2014-2017 Projects'!$I$5:$I$256="Budget and treasury",'2014-2017 Projects'!$CH$5:$CH$256,0))</f>
        <v>10500000</v>
      </c>
    </row>
    <row r="99" spans="1:49" ht="13.5" x14ac:dyDescent="0.25">
      <c r="A99" s="178" t="s">
        <v>30</v>
      </c>
      <c r="B99" s="179" t="e">
        <f t="array" ref="B99">SUM(IF('[5]2013-2016 Projects'!$D$4:$D$202="Corporate services",'[5]2013-2016 Projects'!$V$4:$V$202,0))</f>
        <v>#REF!</v>
      </c>
      <c r="C99" s="179" t="e">
        <f t="array" ref="C99">SUM(IF('[5]2013-2016 Projects'!$D$4:$D$202="Corporate services",'[5]2013-2016 Projects'!$V$4:$V$202,0))</f>
        <v>#REF!</v>
      </c>
      <c r="D99" s="179" t="e">
        <f t="array" ref="D99">SUM(IF('[5]2013-2016 Projects'!$D$4:$D$202="Corporate services",'[5]2013-2016 Projects'!$V$4:$V$202,0))</f>
        <v>#REF!</v>
      </c>
      <c r="E99" s="179" t="e">
        <f t="array" ref="E99">SUM(IF('[5]2013-2016 Projects'!$D$4:$D$202="Corporate services",'[5]2013-2016 Projects'!$V$4:$V$202,0))</f>
        <v>#REF!</v>
      </c>
      <c r="F99" s="179" t="e">
        <f t="array" ref="F99">SUM(IF('[5]2013-2016 Projects'!$D$4:$D$202="Corporate services",'[5]2013-2016 Projects'!$V$4:$V$202,0))</f>
        <v>#REF!</v>
      </c>
      <c r="G99" s="179"/>
      <c r="H99" s="143">
        <f t="array" ref="H99">SUM(IF('2014-2017 Projects'!$I$5:$I$256="Corporate Services",'2014-2017 Projects'!$AK$5:$AK$256,0))</f>
        <v>15100000</v>
      </c>
      <c r="I99" s="143">
        <f t="array" ref="I99">SUM(IF('2014-2017 Projects'!$I$5:$I$256="Corporate Services",'2014-2017 Projects'!$AM$5:$AM$256,0))</f>
        <v>23266133</v>
      </c>
      <c r="J99" s="143">
        <f t="array" ref="J99">SUM(IF('2014-2017 Projects'!$I$5:$I$256="Corporate Services",'2014-2017 Projects'!$AN$5:$AN$256,0))</f>
        <v>0</v>
      </c>
      <c r="K99" s="143">
        <f t="array" ref="K99">SUM(IF('2014-2017 Projects'!$I$5:$I$256="Corporate Services",'2014-2017 Projects'!$AP$5:$AP$256,0))</f>
        <v>0</v>
      </c>
      <c r="L99" s="143">
        <f t="array" ref="L99">SUM(IF('2014-2017 Projects'!$I$5:$I$256="Corporate Services",'2014-2017 Projects'!$AQ$5:$AQ$256,0))</f>
        <v>0</v>
      </c>
      <c r="M99" s="143">
        <f t="array" ref="M99">SUM(IF('2014-2017 Projects'!$I$5:$I$256="Corporate Services",'2014-2017 Projects'!$AS$5:$AS$256,0))</f>
        <v>0</v>
      </c>
      <c r="N99" s="143">
        <f t="array" ref="N99">SUM(IF('2014-2017 Projects'!$I$5:$I$256="Corporate Services",'2014-2017 Projects'!$AT$5:$AT$256,0))</f>
        <v>589776.79</v>
      </c>
      <c r="O99" s="143">
        <f t="array" ref="O99">SUM(IF('2014-2017 Projects'!$I$5:$I$256="Corporate Services",'2014-2017 Projects'!$AV$5:$AV$256,0))</f>
        <v>589776.79</v>
      </c>
      <c r="P99" s="143">
        <f t="array" ref="P99">SUM(IF('2014-2017 Projects'!$I$5:$I$256="Corporate Services",'2014-2017 Projects'!$AW$5:$AW$256,0))</f>
        <v>353865.69</v>
      </c>
      <c r="Q99" s="143">
        <f t="array" ref="Q99">SUM(IF('2014-2017 Projects'!$I$5:$I$256="Corporate Services",'2014-2017 Projects'!$AY$5:$AY$256,0))</f>
        <v>353865.69</v>
      </c>
      <c r="R99" s="143"/>
      <c r="S99" s="143"/>
      <c r="T99" s="143"/>
      <c r="U99" s="143"/>
      <c r="V99" s="143"/>
      <c r="W99" s="143"/>
      <c r="X99" s="143"/>
      <c r="Y99" s="143"/>
      <c r="Z99" s="143"/>
      <c r="AA99" s="143"/>
      <c r="AB99" s="143"/>
      <c r="AC99" s="143"/>
      <c r="AD99" s="143"/>
      <c r="AE99" s="143"/>
      <c r="AF99" s="143"/>
      <c r="AG99" s="143"/>
      <c r="AH99" s="143">
        <f t="array" ref="AH99">SUM(IF('2014-2017 Projects'!$I$5:$I$256="Corporate Services",'2014-2017 Projects'!$BY$5:$BY$256,0))</f>
        <v>943642.4800000001</v>
      </c>
      <c r="AI99" s="143">
        <f t="array" ref="AI99">SUM(IF('2014-2017 Projects'!$I$5:$I$256="Corporate Services",'2014-2017 Projects'!$BZ$5:$BZ$256,0))</f>
        <v>943642.4800000001</v>
      </c>
      <c r="AJ99" s="143">
        <f t="array" ref="AJ99">SUM(IF('2014-2017 Projects'!$I$5:$I$256="Corporate Services",'2014-2017 Projects'!$BX$5:$BX$256,0))</f>
        <v>646677.5</v>
      </c>
      <c r="AK99" s="143">
        <f t="shared" si="55"/>
        <v>22322490.52</v>
      </c>
      <c r="AL99" s="143">
        <f t="shared" si="56"/>
        <v>22322490.52</v>
      </c>
      <c r="AM99" s="405">
        <f t="shared" si="53"/>
        <v>6.249287947019868E-2</v>
      </c>
      <c r="AN99" s="405">
        <f t="shared" si="54"/>
        <v>6.249287947019868E-2</v>
      </c>
      <c r="AO99" s="179">
        <f t="array" ref="AO99">SUM(IF('2014-2017 Projects'!$I$5:$I$256="Corporate Services",'2014-2017 Projects'!$CG$5:$CG$256,0))</f>
        <v>22100000</v>
      </c>
      <c r="AP99" s="179">
        <f t="array" ref="AP99">SUM(IF('2014-2017 Projects'!$I$5:$I$256="Corporate Services",'2014-2017 Projects'!$CH$5:$CH$256,0))</f>
        <v>20200000</v>
      </c>
    </row>
    <row r="100" spans="1:49" s="414" customFormat="1" ht="13.5" x14ac:dyDescent="0.25">
      <c r="A100" s="176" t="s">
        <v>323</v>
      </c>
      <c r="B100" s="177" t="e">
        <f>SUM(B101:B105)</f>
        <v>#REF!</v>
      </c>
      <c r="C100" s="177" t="e">
        <f>SUM(C101:C105)</f>
        <v>#REF!</v>
      </c>
      <c r="D100" s="177" t="e">
        <f>SUM(D101:D105)</f>
        <v>#REF!</v>
      </c>
      <c r="E100" s="177" t="e">
        <f>SUM(E101:E105)</f>
        <v>#REF!</v>
      </c>
      <c r="F100" s="177" t="e">
        <f>SUM(F101:F105)</f>
        <v>#REF!</v>
      </c>
      <c r="G100" s="177"/>
      <c r="H100" s="413">
        <f>SUM(H101:H105)</f>
        <v>140466517</v>
      </c>
      <c r="I100" s="413">
        <f>SUM(I101:I105)</f>
        <v>168742787</v>
      </c>
      <c r="J100" s="413">
        <f t="shared" ref="J100:AJ100" si="57">SUM(J101:J105)</f>
        <v>4420525.9000000004</v>
      </c>
      <c r="K100" s="413">
        <f t="shared" si="57"/>
        <v>4724945.1500000004</v>
      </c>
      <c r="L100" s="413">
        <f t="shared" si="57"/>
        <v>8528328.6900000013</v>
      </c>
      <c r="M100" s="413">
        <f t="shared" si="57"/>
        <v>9082022.3599999994</v>
      </c>
      <c r="N100" s="413">
        <f t="shared" si="57"/>
        <v>10301951.41</v>
      </c>
      <c r="O100" s="413">
        <f t="shared" si="57"/>
        <v>11091462.109999999</v>
      </c>
      <c r="P100" s="413">
        <f t="shared" ref="P100:Q100" si="58">SUM(P101:P105)</f>
        <v>16281617.02</v>
      </c>
      <c r="Q100" s="413">
        <f t="shared" si="58"/>
        <v>17109734.18</v>
      </c>
      <c r="R100" s="413">
        <f t="shared" si="57"/>
        <v>0</v>
      </c>
      <c r="S100" s="413">
        <f t="shared" si="57"/>
        <v>0</v>
      </c>
      <c r="T100" s="413">
        <f t="shared" si="57"/>
        <v>0</v>
      </c>
      <c r="U100" s="413">
        <f t="shared" si="57"/>
        <v>0</v>
      </c>
      <c r="V100" s="413">
        <f t="shared" si="57"/>
        <v>0</v>
      </c>
      <c r="W100" s="413">
        <f t="shared" si="57"/>
        <v>0</v>
      </c>
      <c r="X100" s="413">
        <f t="shared" si="57"/>
        <v>0</v>
      </c>
      <c r="Y100" s="413">
        <f t="shared" si="57"/>
        <v>0</v>
      </c>
      <c r="Z100" s="413">
        <f t="shared" si="57"/>
        <v>0</v>
      </c>
      <c r="AA100" s="413">
        <f t="shared" si="57"/>
        <v>0</v>
      </c>
      <c r="AB100" s="413">
        <f t="shared" si="57"/>
        <v>0</v>
      </c>
      <c r="AC100" s="413">
        <f t="shared" si="57"/>
        <v>0</v>
      </c>
      <c r="AD100" s="413">
        <f t="shared" si="57"/>
        <v>0</v>
      </c>
      <c r="AE100" s="413">
        <f t="shared" si="57"/>
        <v>0</v>
      </c>
      <c r="AF100" s="413">
        <f t="shared" si="57"/>
        <v>0</v>
      </c>
      <c r="AG100" s="413">
        <f t="shared" si="57"/>
        <v>0</v>
      </c>
      <c r="AH100" s="413">
        <f t="shared" si="57"/>
        <v>39532423.019999996</v>
      </c>
      <c r="AI100" s="413">
        <f t="shared" si="57"/>
        <v>42008163.800000004</v>
      </c>
      <c r="AJ100" s="413">
        <f t="shared" si="57"/>
        <v>8062491.04</v>
      </c>
      <c r="AK100" s="413">
        <f>SUM(AK101:AK105)</f>
        <v>129210363.97999999</v>
      </c>
      <c r="AL100" s="413">
        <f>SUM(AL101:AL105)</f>
        <v>126734623.19999999</v>
      </c>
      <c r="AM100" s="404">
        <f t="shared" si="53"/>
        <v>0.28143662891562976</v>
      </c>
      <c r="AN100" s="404">
        <f t="shared" si="54"/>
        <v>0.29906176003495555</v>
      </c>
      <c r="AO100" s="177">
        <f>SUM(AO101:AO105)</f>
        <v>204718500</v>
      </c>
      <c r="AP100" s="177">
        <f>SUM(AP101:AP105)</f>
        <v>317214685</v>
      </c>
      <c r="AQ100" s="140"/>
      <c r="AS100" s="415"/>
      <c r="AT100" s="415"/>
      <c r="AU100" s="416"/>
      <c r="AV100" s="416"/>
      <c r="AW100" s="416"/>
    </row>
    <row r="101" spans="1:49" ht="13.5" x14ac:dyDescent="0.25">
      <c r="A101" s="178" t="s">
        <v>31</v>
      </c>
      <c r="B101" s="179" t="e">
        <f t="array" ref="B101">SUM(IF('[5]2013-2016 Projects'!$D$4:$D$202="Community and social services",'[5]2013-2016 Projects'!$V$4:$V$202,0))</f>
        <v>#REF!</v>
      </c>
      <c r="C101" s="179" t="e">
        <f t="array" ref="C101">SUM(IF('[5]2013-2016 Projects'!$D$4:$D$202="Community and social services",'[5]2013-2016 Projects'!$V$4:$V$202,0))</f>
        <v>#REF!</v>
      </c>
      <c r="D101" s="179" t="e">
        <f t="array" ref="D101">SUM(IF('[5]2013-2016 Projects'!$D$4:$D$202="Community and social services",'[5]2013-2016 Projects'!$V$4:$V$202,0))</f>
        <v>#REF!</v>
      </c>
      <c r="E101" s="179" t="e">
        <f t="array" ref="E101">SUM(IF('[5]2013-2016 Projects'!$D$4:$D$202="Community and social services",'[5]2013-2016 Projects'!$V$4:$V$202,0))</f>
        <v>#REF!</v>
      </c>
      <c r="F101" s="179" t="e">
        <f t="array" ref="F101">SUM(IF('[5]2013-2016 Projects'!$D$4:$D$202="Community and social services",'[5]2013-2016 Projects'!$V$4:$V$202,0))</f>
        <v>#REF!</v>
      </c>
      <c r="G101" s="179"/>
      <c r="H101" s="143">
        <f t="array" ref="H101">SUM(IF('2014-2017 Projects'!$I$5:$I$258="Community and social services",'2014-2017 Projects'!$AK$5:$AK$258,0))</f>
        <v>12500000</v>
      </c>
      <c r="I101" s="143">
        <f t="array" ref="I101">SUM(IF('2014-2017 Projects'!$I$5:$I$258="Community and social services",'2014-2017 Projects'!$AM$5:$AM$258,0))</f>
        <v>23807198</v>
      </c>
      <c r="J101" s="143">
        <f t="array" ref="J101">SUM(IF('2014-2017 Projects'!$I$5:$I$258="Community and social services",'2014-2017 Projects'!$AN$5:$AN$258,0))</f>
        <v>0</v>
      </c>
      <c r="K101" s="143">
        <f t="array" ref="K101">SUM(IF('2014-2017 Projects'!$I$5:$I$258="Community and social services",'2014-2017 Projects'!$AP$5:$AP$258,0))</f>
        <v>0</v>
      </c>
      <c r="L101" s="143">
        <f t="array" ref="L101">SUM(IF('2014-2017 Projects'!$I$5:$I$258="Community and social services",'2014-2017 Projects'!$AQ$5:$AQ$258,0))</f>
        <v>47492.13</v>
      </c>
      <c r="M101" s="143">
        <f t="array" ref="M101">SUM(IF('2014-2017 Projects'!$I$5:$I$258="Community and social services",'2014-2017 Projects'!$AS$5:$AS$258,0))</f>
        <v>52755.03</v>
      </c>
      <c r="N101" s="143">
        <f t="array" ref="N101">SUM(IF('2014-2017 Projects'!$I$5:$I$258="Community and social services",'2014-2017 Projects'!$AT$5:$AT$258,0))</f>
        <v>121503.65</v>
      </c>
      <c r="O101" s="143">
        <f t="array" ref="O101">SUM(IF('2014-2017 Projects'!$I$5:$I$258="Community and social services",'2014-2017 Projects'!$AV$5:$AV$258,0))</f>
        <v>138514.16</v>
      </c>
      <c r="P101" s="143">
        <f t="array" ref="P101">SUM(IF('2014-2017 Projects'!$I$5:$I$258="Community and social services",'2014-2017 Projects'!$AW$5:$AW$258,0))</f>
        <v>4196.91</v>
      </c>
      <c r="Q101" s="143">
        <f t="array" ref="Q101">SUM(IF('2014-2017 Projects'!$I$5:$I$258="Community and social services",'2014-2017 Projects'!$AY$5:$AY$258,0))</f>
        <v>4196.91</v>
      </c>
      <c r="R101" s="143"/>
      <c r="S101" s="143"/>
      <c r="T101" s="143"/>
      <c r="U101" s="143"/>
      <c r="V101" s="143"/>
      <c r="W101" s="143"/>
      <c r="X101" s="143"/>
      <c r="Y101" s="143"/>
      <c r="Z101" s="143"/>
      <c r="AA101" s="143"/>
      <c r="AB101" s="143"/>
      <c r="AC101" s="143"/>
      <c r="AD101" s="143"/>
      <c r="AE101" s="143"/>
      <c r="AF101" s="143"/>
      <c r="AG101" s="143"/>
      <c r="AH101" s="143">
        <f t="array" ref="AH101">SUM(IF('2014-2017 Projects'!$I$5:$I$258="Community and social services",'2014-2017 Projects'!$BY$5:$BY$258,0))</f>
        <v>173192.69</v>
      </c>
      <c r="AI101" s="143">
        <f t="array" ref="AI101">SUM(IF('2014-2017 Projects'!$I$5:$I$258="Community and social services",'2014-2017 Projects'!$BZ$5:$BZ$258,0))</f>
        <v>195466.1</v>
      </c>
      <c r="AJ101" s="143">
        <f t="array" ref="AJ101">SUM(IF('2014-2017 Projects'!$I$5:$I$258="Community and social services",'2014-2017 Projects'!$BX$5:$BX$258,0))</f>
        <v>4870066.75</v>
      </c>
      <c r="AK101" s="143">
        <f t="shared" si="55"/>
        <v>23634005.309999999</v>
      </c>
      <c r="AL101" s="143">
        <f t="shared" si="56"/>
        <v>23611731.899999999</v>
      </c>
      <c r="AM101" s="405">
        <f t="shared" si="53"/>
        <v>1.38554152E-2</v>
      </c>
      <c r="AN101" s="405">
        <f t="shared" si="54"/>
        <v>1.5637287999999999E-2</v>
      </c>
      <c r="AO101" s="179">
        <f t="array" ref="AO101">SUM(IF('2014-2017 Projects'!$I$5:$I$258="Community and social services",'2014-2017 Projects'!$CG$5:$CG$258,0))</f>
        <v>9500000</v>
      </c>
      <c r="AP101" s="179">
        <f t="array" ref="AP101">SUM(IF('2014-2017 Projects'!$I$5:$I$258="Community and social services",'2014-2017 Projects'!$CH$5:$CH$258,0))</f>
        <v>9500000</v>
      </c>
    </row>
    <row r="102" spans="1:49" ht="13.5" x14ac:dyDescent="0.25">
      <c r="A102" s="178" t="s">
        <v>324</v>
      </c>
      <c r="B102" s="179" t="e">
        <f t="array" ref="B102">SUM(IF('[5]2013-2016 Projects'!$D$4:$D$202="Sport and recreation",'[5]2013-2016 Projects'!$V$4:$V$202,0))</f>
        <v>#REF!</v>
      </c>
      <c r="C102" s="179" t="e">
        <f t="array" ref="C102">SUM(IF('[5]2013-2016 Projects'!$D$4:$D$202="Sport and recreation",'[5]2013-2016 Projects'!$V$4:$V$202,0))</f>
        <v>#REF!</v>
      </c>
      <c r="D102" s="179" t="e">
        <f t="array" ref="D102">SUM(IF('[5]2013-2016 Projects'!$D$4:$D$202="Sport and recreation",'[5]2013-2016 Projects'!$V$4:$V$202,0))</f>
        <v>#REF!</v>
      </c>
      <c r="E102" s="179" t="e">
        <f t="array" ref="E102">SUM(IF('[5]2013-2016 Projects'!$D$4:$D$202="Sport and recreation",'[5]2013-2016 Projects'!$V$4:$V$202,0))</f>
        <v>#REF!</v>
      </c>
      <c r="F102" s="179" t="e">
        <f t="array" ref="F102">SUM(IF('[5]2013-2016 Projects'!$D$4:$D$202="Sport and recreation",'[5]2013-2016 Projects'!$V$4:$V$202,0))</f>
        <v>#REF!</v>
      </c>
      <c r="G102" s="179"/>
      <c r="H102" s="143">
        <f t="array" ref="H102">SUM(IF('2014-2017 Projects'!$I$5:$I$258="Sport and recreation",'2014-2017 Projects'!$AK$5:$AK$258,0))</f>
        <v>28030409</v>
      </c>
      <c r="I102" s="143">
        <f t="array" ref="I102">SUM(IF('2014-2017 Projects'!$I$5:$I$258="Sport and recreation",'2014-2017 Projects'!$AM$5:$AM$258,0))</f>
        <v>31101354</v>
      </c>
      <c r="J102" s="143">
        <f t="array" ref="J102">SUM(IF('2014-2017 Projects'!$I$5:$I$258="Sport and recreation",'2014-2017 Projects'!$AN$5:$AN$258,0))</f>
        <v>0</v>
      </c>
      <c r="K102" s="143">
        <f t="array" ref="K102">SUM(IF('2014-2017 Projects'!$I$5:$I$258="Sport and recreation",'2014-2017 Projects'!$AP$5:$AP$258,0))</f>
        <v>0</v>
      </c>
      <c r="L102" s="143">
        <f t="array" ref="L102">SUM(IF('2014-2017 Projects'!$I$5:$I$258="Sport and recreation",'2014-2017 Projects'!$AQ$5:$AQ$258,0))</f>
        <v>190000</v>
      </c>
      <c r="M102" s="143">
        <f t="array" ref="M102">SUM(IF('2014-2017 Projects'!$I$5:$I$258="Sport and recreation",'2014-2017 Projects'!$AS$5:$AS$258,0))</f>
        <v>190000</v>
      </c>
      <c r="N102" s="143">
        <f t="array" ref="N102">SUM(IF('2014-2017 Projects'!$I$5:$I$258="Sport and recreation",'2014-2017 Projects'!$AT$5:$AT$258,0))</f>
        <v>928123.32</v>
      </c>
      <c r="O102" s="143">
        <f t="array" ref="O102">SUM(IF('2014-2017 Projects'!$I$5:$I$258="Sport and recreation",'2014-2017 Projects'!$AV$5:$AV$258,0))</f>
        <v>928406.8</v>
      </c>
      <c r="P102" s="143">
        <f t="array" ref="P102">SUM(IF('2014-2017 Projects'!$I$5:$I$258="Sport and recreation",'2014-2017 Projects'!$AW$5:$AW$258,0))</f>
        <v>1322687.3500000001</v>
      </c>
      <c r="Q102" s="143">
        <f t="array" ref="Q102">SUM(IF('2014-2017 Projects'!$I$5:$I$258="Sport and recreation",'2014-2017 Projects'!$AY$5:$AY$258,0))</f>
        <v>1459610.96</v>
      </c>
      <c r="R102" s="143"/>
      <c r="S102" s="143"/>
      <c r="T102" s="143"/>
      <c r="U102" s="143"/>
      <c r="V102" s="143"/>
      <c r="W102" s="143"/>
      <c r="X102" s="143"/>
      <c r="Y102" s="143"/>
      <c r="Z102" s="143"/>
      <c r="AA102" s="143"/>
      <c r="AB102" s="143"/>
      <c r="AC102" s="143"/>
      <c r="AD102" s="143"/>
      <c r="AE102" s="143"/>
      <c r="AF102" s="143"/>
      <c r="AG102" s="143"/>
      <c r="AH102" s="143">
        <f t="array" ref="AH102">SUM(IF('2014-2017 Projects'!$I$5:$I$258="Sport and recreation",'2014-2017 Projects'!$BY$5:$BY$258,0))</f>
        <v>2440810.67</v>
      </c>
      <c r="AI102" s="143">
        <f t="array" ref="AI102">SUM(IF('2014-2017 Projects'!$I$5:$I$258="Sport and recreation",'2014-2017 Projects'!$BZ$5:$BZ$258,0))</f>
        <v>2578017.7600000002</v>
      </c>
      <c r="AJ102" s="143">
        <f t="array" ref="AJ102">SUM(IF('2014-2017 Projects'!$I$5:$I$258="Sport and recreation",'2014-2017 Projects'!$BX$5:$BX$258,0))</f>
        <v>366600</v>
      </c>
      <c r="AK102" s="143">
        <f t="shared" si="55"/>
        <v>28660543.329999998</v>
      </c>
      <c r="AL102" s="143">
        <f t="shared" si="56"/>
        <v>28523336.239999998</v>
      </c>
      <c r="AM102" s="405">
        <f t="shared" si="53"/>
        <v>8.7077240649610213E-2</v>
      </c>
      <c r="AN102" s="405">
        <f t="shared" si="54"/>
        <v>9.1972177787345177E-2</v>
      </c>
      <c r="AO102" s="179">
        <f t="array" ref="AO102">SUM(IF('2014-2017 Projects'!$I$5:$I$258="Sport and recreation",'2014-2017 Projects'!$CG$5:$CG$258,0))</f>
        <v>21750000</v>
      </c>
      <c r="AP102" s="179">
        <f t="array" ref="AP102">SUM(IF('2014-2017 Projects'!$I$5:$I$258="Sport and recreation",'2014-2017 Projects'!$CH$5:$CH$258,0))</f>
        <v>19750000</v>
      </c>
    </row>
    <row r="103" spans="1:49" ht="13.5" x14ac:dyDescent="0.25">
      <c r="A103" s="178" t="s">
        <v>32</v>
      </c>
      <c r="B103" s="179" t="e">
        <f t="array" ref="B103">SUM(IF('[5]2013-2016 Projects'!$D$4:$D$202="Public safety",'[5]2013-2016 Projects'!$V$4:$V$202,0))</f>
        <v>#REF!</v>
      </c>
      <c r="C103" s="179" t="e">
        <f t="array" ref="C103">SUM(IF('[5]2013-2016 Projects'!$D$4:$D$202="Public safety",'[5]2013-2016 Projects'!$V$4:$V$202,0))</f>
        <v>#REF!</v>
      </c>
      <c r="D103" s="179" t="e">
        <f t="array" ref="D103">SUM(IF('[5]2013-2016 Projects'!$D$4:$D$202="Public safety",'[5]2013-2016 Projects'!$V$4:$V$202,0))</f>
        <v>#REF!</v>
      </c>
      <c r="E103" s="179" t="e">
        <f t="array" ref="E103">SUM(IF('[5]2013-2016 Projects'!$D$4:$D$202="Public safety",'[5]2013-2016 Projects'!$V$4:$V$202,0))</f>
        <v>#REF!</v>
      </c>
      <c r="F103" s="179" t="e">
        <f t="array" ref="F103">SUM(IF('[5]2013-2016 Projects'!$D$4:$D$202="Public safety",'[5]2013-2016 Projects'!$V$4:$V$202,0))</f>
        <v>#REF!</v>
      </c>
      <c r="G103" s="179"/>
      <c r="H103" s="143">
        <f t="array" ref="H103">SUM(IF('2014-2017 Projects'!$I$5:$I$258="Public safety",'2014-2017 Projects'!$AK$5:$AK$258,0))</f>
        <v>9800000</v>
      </c>
      <c r="I103" s="143">
        <f t="array" ref="I103">SUM(IF('2014-2017 Projects'!$I$5:$I$258="Public safety",'2014-2017 Projects'!$AM$5:$AM$258,0))</f>
        <v>13016980</v>
      </c>
      <c r="J103" s="143">
        <f t="array" ref="J103">SUM(IF('2014-2017 Projects'!$I$5:$I$258="Public safety",'2014-2017 Projects'!$AN$5:$AN$258,0))</f>
        <v>1102.6300000000001</v>
      </c>
      <c r="K103" s="143">
        <f t="array" ref="K103">SUM(IF('2014-2017 Projects'!$I$5:$I$258="Public safety",'2014-2017 Projects'!$AP$5:$AP$258,0))</f>
        <v>1102.6300000000001</v>
      </c>
      <c r="L103" s="143">
        <f t="array" ref="L103">SUM(IF('2014-2017 Projects'!$I$5:$I$258="Public safety",'2014-2017 Projects'!$AQ$5:$AQ$258,0))</f>
        <v>761505.76</v>
      </c>
      <c r="M103" s="143">
        <f t="array" ref="M103">SUM(IF('2014-2017 Projects'!$I$5:$I$258="Public safety",'2014-2017 Projects'!$AS$5:$AS$258,0))</f>
        <v>761505.76</v>
      </c>
      <c r="N103" s="143">
        <f t="array" ref="N103">SUM(IF('2014-2017 Projects'!$I$5:$I$258="Public safety",'2014-2017 Projects'!$AT$5:$AT$258,0))</f>
        <v>1653.9500000000698</v>
      </c>
      <c r="O103" s="143">
        <f t="array" ref="O103">SUM(IF('2014-2017 Projects'!$I$5:$I$258="Public safety",'2014-2017 Projects'!$AV$5:$AV$258,0))</f>
        <v>1653.9500000000698</v>
      </c>
      <c r="P103" s="143">
        <f t="array" ref="P103">SUM(IF('2014-2017 Projects'!$I$5:$I$258="Public safety",'2014-2017 Projects'!$AW$5:$AW$258,0))</f>
        <v>177174.39</v>
      </c>
      <c r="Q103" s="143">
        <f t="array" ref="Q103">SUM(IF('2014-2017 Projects'!$I$5:$I$258="Public safety",'2014-2017 Projects'!$AY$5:$AY$258,0))</f>
        <v>177174.39</v>
      </c>
      <c r="R103" s="143"/>
      <c r="S103" s="143"/>
      <c r="T103" s="143"/>
      <c r="U103" s="143"/>
      <c r="V103" s="143"/>
      <c r="W103" s="143"/>
      <c r="X103" s="143"/>
      <c r="Y103" s="143"/>
      <c r="Z103" s="143"/>
      <c r="AA103" s="143"/>
      <c r="AB103" s="143"/>
      <c r="AC103" s="143"/>
      <c r="AD103" s="143"/>
      <c r="AE103" s="143"/>
      <c r="AF103" s="143"/>
      <c r="AG103" s="143"/>
      <c r="AH103" s="143">
        <f t="array" ref="AH103">SUM(IF('2014-2017 Projects'!$I$5:$I$258="Public safety",'2014-2017 Projects'!$BY$5:$BY$258,0))</f>
        <v>941436.7300000001</v>
      </c>
      <c r="AI103" s="143">
        <f t="array" ref="AI103">SUM(IF('2014-2017 Projects'!$I$5:$I$258="Public safety",'2014-2017 Projects'!$BZ$5:$BZ$258,0))</f>
        <v>941436.7300000001</v>
      </c>
      <c r="AJ103" s="143">
        <f t="array" ref="AJ103">SUM(IF('2014-2017 Projects'!$I$5:$I$258="Public safety",'2014-2017 Projects'!$BX$5:$BX$258,0))</f>
        <v>2555447.42</v>
      </c>
      <c r="AK103" s="143">
        <f t="shared" si="55"/>
        <v>12075543.27</v>
      </c>
      <c r="AL103" s="143">
        <f t="shared" si="56"/>
        <v>12075543.27</v>
      </c>
      <c r="AM103" s="405">
        <f t="shared" si="53"/>
        <v>9.6064972448979602E-2</v>
      </c>
      <c r="AN103" s="405">
        <f t="shared" si="54"/>
        <v>9.6064972448979602E-2</v>
      </c>
      <c r="AO103" s="179">
        <f t="array" ref="AO103">SUM(IF('2014-2017 Projects'!$I$5:$I$258="Public safety",'2014-2017 Projects'!$CG$5:$CG$258,0))</f>
        <v>10500000</v>
      </c>
      <c r="AP103" s="179">
        <f t="array" ref="AP103">SUM(IF('2014-2017 Projects'!$I$5:$I$258="Public safety",'2014-2017 Projects'!$CH$5:$CH$258,0))</f>
        <v>21200000</v>
      </c>
    </row>
    <row r="104" spans="1:49" ht="13.5" x14ac:dyDescent="0.25">
      <c r="A104" s="178" t="s">
        <v>13</v>
      </c>
      <c r="B104" s="179" t="e">
        <f t="array" ref="B104">SUM(IF('[5]2013-2016 Projects'!$D$4:$D$202="Housing",'[5]2013-2016 Projects'!$V$4:$V$202,0))</f>
        <v>#REF!</v>
      </c>
      <c r="C104" s="179" t="e">
        <f t="array" ref="C104">SUM(IF('[5]2013-2016 Projects'!$D$4:$D$202="Housing",'[5]2013-2016 Projects'!$V$4:$V$202,0))</f>
        <v>#REF!</v>
      </c>
      <c r="D104" s="179" t="e">
        <f t="array" ref="D104">SUM(IF('[5]2013-2016 Projects'!$D$4:$D$202="Housing",'[5]2013-2016 Projects'!$V$4:$V$202,0))</f>
        <v>#REF!</v>
      </c>
      <c r="E104" s="179" t="e">
        <f t="array" ref="E104">SUM(IF('[5]2013-2016 Projects'!$D$4:$D$202="Housing",'[5]2013-2016 Projects'!$V$4:$V$202,0))</f>
        <v>#REF!</v>
      </c>
      <c r="F104" s="179" t="e">
        <f t="array" ref="F104">SUM(IF('[5]2013-2016 Projects'!$D$4:$D$202="Housing",'[5]2013-2016 Projects'!$V$4:$V$202,0))</f>
        <v>#REF!</v>
      </c>
      <c r="G104" s="179"/>
      <c r="H104" s="143">
        <f t="array" ref="H104">SUM(IF('2014-2017 Projects'!$I$5:$I$256="Housing",'2014-2017 Projects'!$AK$5:$AK$256,0))</f>
        <v>90136108</v>
      </c>
      <c r="I104" s="143">
        <f t="array" ref="I104">SUM(IF('2014-2017 Projects'!$I$5:$I$256="Housing",'2014-2017 Projects'!$AM$5:$AM$256,0))</f>
        <v>100817255</v>
      </c>
      <c r="J104" s="143">
        <f t="array" ref="J104">SUM(IF('2014-2017 Projects'!$I$5:$I$256="Housing",'2014-2017 Projects'!$AN$5:$AN$256,0))</f>
        <v>4419423.2700000005</v>
      </c>
      <c r="K104" s="143">
        <f t="array" ref="K104">SUM(IF('2014-2017 Projects'!$I$5:$I$256="Housing",'2014-2017 Projects'!$AP$5:$AP$256,0))</f>
        <v>4723842.5200000005</v>
      </c>
      <c r="L104" s="143">
        <f t="array" ref="L104">SUM(IF('2014-2017 Projects'!$I$5:$I$256="Housing",'2014-2017 Projects'!$AQ$5:$AQ$256,0))</f>
        <v>7529330.8000000007</v>
      </c>
      <c r="M104" s="143">
        <f t="array" ref="M104">SUM(IF('2014-2017 Projects'!$I$5:$I$256="Housing",'2014-2017 Projects'!$AS$5:$AS$256,0))</f>
        <v>8077761.5700000003</v>
      </c>
      <c r="N104" s="143">
        <f t="array" ref="N104">SUM(IF('2014-2017 Projects'!$I$5:$I$256="Housing",'2014-2017 Projects'!$AT$5:$AT$256,0))</f>
        <v>9250670.4900000002</v>
      </c>
      <c r="O104" s="143">
        <f t="array" ref="O104">SUM(IF('2014-2017 Projects'!$I$5:$I$256="Housing",'2014-2017 Projects'!$AV$5:$AV$256,0))</f>
        <v>10022887.199999999</v>
      </c>
      <c r="P104" s="143">
        <f t="array" ref="P104">SUM(IF('2014-2017 Projects'!$I$5:$I$256="Housing",'2014-2017 Projects'!$AW$5:$AW$256,0))</f>
        <v>14777558.369999999</v>
      </c>
      <c r="Q104" s="143">
        <f t="array" ref="Q104">SUM(IF('2014-2017 Projects'!$I$5:$I$256="Housing",'2014-2017 Projects'!$AY$5:$AY$256,0))</f>
        <v>15468751.92</v>
      </c>
      <c r="R104" s="143"/>
      <c r="S104" s="143"/>
      <c r="T104" s="143"/>
      <c r="U104" s="143"/>
      <c r="V104" s="143"/>
      <c r="W104" s="143"/>
      <c r="X104" s="143"/>
      <c r="Y104" s="143"/>
      <c r="Z104" s="143"/>
      <c r="AA104" s="143"/>
      <c r="AB104" s="143"/>
      <c r="AC104" s="143"/>
      <c r="AD104" s="143"/>
      <c r="AE104" s="143"/>
      <c r="AF104" s="143"/>
      <c r="AG104" s="143"/>
      <c r="AH104" s="143">
        <f t="array" ref="AH104">SUM(IF('2014-2017 Projects'!$I$5:$I$256="Housing",'2014-2017 Projects'!$BY$5:$BY$256,0))</f>
        <v>35976982.93</v>
      </c>
      <c r="AI104" s="143">
        <f t="array" ref="AI104">SUM(IF('2014-2017 Projects'!$I$5:$I$256="Housing",'2014-2017 Projects'!$BZ$5:$BZ$256,0))</f>
        <v>38293243.210000001</v>
      </c>
      <c r="AJ104" s="143">
        <f t="array" ref="AJ104">SUM(IF('2014-2017 Projects'!$I$5:$I$256="Housing",'2014-2017 Projects'!$BX$5:$BX$256,0))</f>
        <v>270376.87</v>
      </c>
      <c r="AK104" s="143">
        <f t="shared" si="55"/>
        <v>64840272.07</v>
      </c>
      <c r="AL104" s="143">
        <f t="shared" si="56"/>
        <v>62524011.789999999</v>
      </c>
      <c r="AM104" s="405">
        <f t="shared" si="53"/>
        <v>0.399140629968181</v>
      </c>
      <c r="AN104" s="405">
        <f t="shared" si="54"/>
        <v>0.42483799289403534</v>
      </c>
      <c r="AO104" s="179">
        <f t="array" ref="AO104">SUM(IF('2014-2017 Projects'!$I$5:$I$140="Housing",'2014-2017 Projects'!$CG$5:$CG$140,0))</f>
        <v>162968500</v>
      </c>
      <c r="AP104" s="179">
        <f t="array" ref="AP104">SUM(IF('2014-2017 Projects'!$I$5:$I$140="Housing",'2014-2017 Projects'!$CH$5:$CH$140,0))</f>
        <v>266764685</v>
      </c>
    </row>
    <row r="105" spans="1:49" ht="13.5" x14ac:dyDescent="0.25">
      <c r="A105" s="178" t="s">
        <v>325</v>
      </c>
      <c r="B105" s="179" t="e">
        <f t="array" ref="B105">SUM(IF('[5]2013-2016 Projects'!$D$4:$D$202="Health",'[5]2013-2016 Projects'!$V$4:$V$202,0))</f>
        <v>#REF!</v>
      </c>
      <c r="C105" s="179" t="e">
        <f t="array" ref="C105">SUM(IF('[5]2013-2016 Projects'!$D$4:$D$202="Health",'[5]2013-2016 Projects'!$V$4:$V$202,0))</f>
        <v>#REF!</v>
      </c>
      <c r="D105" s="179" t="e">
        <f t="array" ref="D105">SUM(IF('[5]2013-2016 Projects'!$D$4:$D$202="Health",'[5]2013-2016 Projects'!$V$4:$V$202,0))</f>
        <v>#REF!</v>
      </c>
      <c r="E105" s="179" t="e">
        <f t="array" ref="E105">SUM(IF('[5]2013-2016 Projects'!$D$4:$D$202="Health",'[5]2013-2016 Projects'!$V$4:$V$202,0))</f>
        <v>#REF!</v>
      </c>
      <c r="F105" s="179" t="e">
        <f t="array" ref="F105">SUM(IF('[5]2013-2016 Projects'!$D$4:$D$202="Health",'[5]2013-2016 Projects'!$V$4:$V$202,0))</f>
        <v>#REF!</v>
      </c>
      <c r="G105" s="179"/>
      <c r="H105" s="143">
        <f t="array" ref="H105">SUM(IF('2014-2017 Projects'!$I$5:$I$258="Health",'2014-2017 Projects'!$AK$5:$AK$258,0))</f>
        <v>0</v>
      </c>
      <c r="I105" s="143">
        <f t="array" ref="I105">SUM(IF('2014-2017 Projects'!$I$5:$I$258="Health",'2014-2017 Projects'!$AM$5:$AM$258,0))</f>
        <v>0</v>
      </c>
      <c r="J105" s="143">
        <f t="array" ref="J105">SUM(IF('2014-2017 Projects'!$I$5:$I$258="Health",'2014-2017 Projects'!$AN$5:$AN$258,0))</f>
        <v>0</v>
      </c>
      <c r="K105" s="143">
        <f t="array" ref="K105">SUM(IF('2014-2017 Projects'!$I$5:$I$258="Health",'2014-2017 Projects'!$AP$5:$AP$258,0))</f>
        <v>0</v>
      </c>
      <c r="L105" s="143">
        <f t="array" ref="L105">SUM(IF('2014-2017 Projects'!$I$5:$I$258="Health",'2014-2017 Projects'!$AQ$5:$AQ$258,0))</f>
        <v>0</v>
      </c>
      <c r="M105" s="143">
        <f t="array" ref="M105">SUM(IF('2014-2017 Projects'!$I$5:$I$258="Health",'2014-2017 Projects'!$AS$5:$AS$258,0))</f>
        <v>0</v>
      </c>
      <c r="N105" s="143">
        <f t="array" ref="N105">SUM(IF('2014-2017 Projects'!$I$5:$I$258="Health",'2014-2017 Projects'!$AT$5:$AT$258,0))</f>
        <v>0</v>
      </c>
      <c r="O105" s="143">
        <f t="array" ref="O105">SUM(IF('2014-2017 Projects'!$I$5:$I$258="Health",'2014-2017 Projects'!$AV$5:$AV$258,0))</f>
        <v>0</v>
      </c>
      <c r="P105" s="143">
        <f t="array" ref="P105">SUM(IF('2014-2017 Projects'!$I$5:$I$258="Health",'2014-2017 Projects'!$AT$5:$AT$258,0))</f>
        <v>0</v>
      </c>
      <c r="Q105" s="143">
        <f t="array" ref="Q105">SUM(IF('2014-2017 Projects'!$I$5:$I$258="Health",'2014-2017 Projects'!$AT$5:$AT$258,0))</f>
        <v>0</v>
      </c>
      <c r="R105" s="143">
        <f t="array" ref="R105">SUM(IF('2014-2017 Projects'!$I$5:$I$258="Health",'2014-2017 Projects'!$AK$5:$AK$258,0))</f>
        <v>0</v>
      </c>
      <c r="S105" s="143">
        <f t="array" ref="S105">SUM(IF('2014-2017 Projects'!$I$5:$I$258="Health",'2014-2017 Projects'!$AK$5:$AK$258,0))</f>
        <v>0</v>
      </c>
      <c r="T105" s="143">
        <f t="array" ref="T105">SUM(IF('2014-2017 Projects'!$I$5:$I$258="Health",'2014-2017 Projects'!$AK$5:$AK$258,0))</f>
        <v>0</v>
      </c>
      <c r="U105" s="143">
        <f t="array" ref="U105">SUM(IF('2014-2017 Projects'!$I$5:$I$258="Health",'2014-2017 Projects'!$AK$5:$AK$258,0))</f>
        <v>0</v>
      </c>
      <c r="V105" s="143">
        <f t="array" ref="V105">SUM(IF('2014-2017 Projects'!$I$5:$I$258="Health",'2014-2017 Projects'!$AK$5:$AK$258,0))</f>
        <v>0</v>
      </c>
      <c r="W105" s="143">
        <f t="array" ref="W105">SUM(IF('2014-2017 Projects'!$I$5:$I$258="Health",'2014-2017 Projects'!$AK$5:$AK$258,0))</f>
        <v>0</v>
      </c>
      <c r="X105" s="143">
        <f t="array" ref="X105">SUM(IF('2014-2017 Projects'!$I$5:$I$258="Health",'2014-2017 Projects'!$AK$5:$AK$258,0))</f>
        <v>0</v>
      </c>
      <c r="Y105" s="143">
        <f t="array" ref="Y105">SUM(IF('2014-2017 Projects'!$I$5:$I$258="Health",'2014-2017 Projects'!$AK$5:$AK$258,0))</f>
        <v>0</v>
      </c>
      <c r="Z105" s="143">
        <f t="array" ref="Z105">SUM(IF('2014-2017 Projects'!$I$5:$I$258="Health",'2014-2017 Projects'!$AK$5:$AK$258,0))</f>
        <v>0</v>
      </c>
      <c r="AA105" s="143">
        <f t="array" ref="AA105">SUM(IF('2014-2017 Projects'!$I$5:$I$258="Health",'2014-2017 Projects'!$AK$5:$AK$258,0))</f>
        <v>0</v>
      </c>
      <c r="AB105" s="143">
        <f t="array" ref="AB105">SUM(IF('2014-2017 Projects'!$I$5:$I$258="Health",'2014-2017 Projects'!$AK$5:$AK$258,0))</f>
        <v>0</v>
      </c>
      <c r="AC105" s="143">
        <f t="array" ref="AC105">SUM(IF('2014-2017 Projects'!$I$5:$I$258="Health",'2014-2017 Projects'!$AK$5:$AK$258,0))</f>
        <v>0</v>
      </c>
      <c r="AD105" s="143">
        <f t="array" ref="AD105">SUM(IF('2014-2017 Projects'!$I$5:$I$258="Health",'2014-2017 Projects'!$AK$5:$AK$258,0))</f>
        <v>0</v>
      </c>
      <c r="AE105" s="143">
        <f t="array" ref="AE105">SUM(IF('2014-2017 Projects'!$I$5:$I$258="Health",'2014-2017 Projects'!$AK$5:$AK$258,0))</f>
        <v>0</v>
      </c>
      <c r="AF105" s="143">
        <f t="array" ref="AF105">SUM(IF('2014-2017 Projects'!$I$5:$I$258="Health",'2014-2017 Projects'!$AK$5:$AK$258,0))</f>
        <v>0</v>
      </c>
      <c r="AG105" s="143">
        <f t="array" ref="AG105">SUM(IF('2014-2017 Projects'!$I$5:$I$258="Health",'2014-2017 Projects'!$AK$5:$AK$258,0))</f>
        <v>0</v>
      </c>
      <c r="AH105" s="143">
        <f t="array" ref="AH105">SUM(IF('2014-2017 Projects'!$I$5:$I$258="Health",'2014-2017 Projects'!$AK$5:$AK$258,0))</f>
        <v>0</v>
      </c>
      <c r="AI105" s="143">
        <f t="array" ref="AI105">SUM(IF('2014-2017 Projects'!$I$5:$I$258="Health",'2014-2017 Projects'!$AK$5:$AK$258,0))</f>
        <v>0</v>
      </c>
      <c r="AJ105" s="143">
        <f t="array" ref="AJ105">SUM(IF('2014-2017 Projects'!$I$5:$I$258="Health",'2014-2017 Projects'!$AK$5:$AK$258,0))</f>
        <v>0</v>
      </c>
      <c r="AK105" s="143">
        <f t="shared" si="55"/>
        <v>0</v>
      </c>
      <c r="AL105" s="143">
        <f t="shared" ref="AL105:AL115" si="59">H105-AI105</f>
        <v>0</v>
      </c>
      <c r="AM105" s="405" t="e">
        <f t="shared" si="53"/>
        <v>#DIV/0!</v>
      </c>
      <c r="AN105" s="405" t="e">
        <f t="shared" si="54"/>
        <v>#DIV/0!</v>
      </c>
      <c r="AO105" s="179">
        <f t="array" ref="AO105">SUM(IF('2014-2017 Projects'!$I$5:$I$258="Health",'2014-2017 Projects'!$CG$5:$CG$258,0))</f>
        <v>0</v>
      </c>
      <c r="AP105" s="179">
        <f t="array" ref="AP105">SUM(IF('2014-2017 Projects'!$I$5:$I$258="Health",'2014-2017 Projects'!$CH$5:$CH$258,0))</f>
        <v>0</v>
      </c>
    </row>
    <row r="106" spans="1:49" s="414" customFormat="1" ht="13.5" x14ac:dyDescent="0.25">
      <c r="A106" s="176" t="s">
        <v>326</v>
      </c>
      <c r="B106" s="177" t="e">
        <f>SUM(B107:B109)</f>
        <v>#REF!</v>
      </c>
      <c r="C106" s="177" t="e">
        <f>SUM(C107:C109)</f>
        <v>#REF!</v>
      </c>
      <c r="D106" s="177" t="e">
        <f>SUM(D107:D109)</f>
        <v>#REF!</v>
      </c>
      <c r="E106" s="177" t="e">
        <f>SUM(E107:E109)</f>
        <v>#REF!</v>
      </c>
      <c r="F106" s="177" t="e">
        <f>SUM(F107:F109)</f>
        <v>#REF!</v>
      </c>
      <c r="G106" s="177"/>
      <c r="H106" s="413">
        <f>SUM(H107:H109)</f>
        <v>262895288</v>
      </c>
      <c r="I106" s="413">
        <f>SUM(I107:I109)</f>
        <v>266225207</v>
      </c>
      <c r="J106" s="413">
        <f t="shared" ref="J106:AJ106" si="60">SUM(J107:J109)</f>
        <v>5180.8399999999965</v>
      </c>
      <c r="K106" s="413">
        <f t="shared" si="60"/>
        <v>6757.239999999998</v>
      </c>
      <c r="L106" s="413">
        <f t="shared" si="60"/>
        <v>12875367.060000001</v>
      </c>
      <c r="M106" s="413">
        <f t="shared" si="60"/>
        <v>14492034.43</v>
      </c>
      <c r="N106" s="413">
        <f t="shared" si="60"/>
        <v>21480115.25</v>
      </c>
      <c r="O106" s="413">
        <f t="shared" si="60"/>
        <v>23636695.039999995</v>
      </c>
      <c r="P106" s="413">
        <f t="shared" ref="P106:Q106" si="61">SUM(P107:P109)</f>
        <v>25684678.890000001</v>
      </c>
      <c r="Q106" s="413">
        <f t="shared" si="61"/>
        <v>28921079.700000003</v>
      </c>
      <c r="R106" s="413">
        <f t="shared" si="60"/>
        <v>0</v>
      </c>
      <c r="S106" s="413">
        <f t="shared" si="60"/>
        <v>0</v>
      </c>
      <c r="T106" s="413">
        <f t="shared" si="60"/>
        <v>0</v>
      </c>
      <c r="U106" s="413">
        <f t="shared" si="60"/>
        <v>0</v>
      </c>
      <c r="V106" s="413">
        <f t="shared" si="60"/>
        <v>0</v>
      </c>
      <c r="W106" s="413">
        <f t="shared" si="60"/>
        <v>0</v>
      </c>
      <c r="X106" s="413">
        <f t="shared" si="60"/>
        <v>0</v>
      </c>
      <c r="Y106" s="413">
        <f t="shared" si="60"/>
        <v>0</v>
      </c>
      <c r="Z106" s="413">
        <f t="shared" si="60"/>
        <v>0</v>
      </c>
      <c r="AA106" s="413">
        <f t="shared" si="60"/>
        <v>0</v>
      </c>
      <c r="AB106" s="413">
        <f t="shared" si="60"/>
        <v>0</v>
      </c>
      <c r="AC106" s="413">
        <f t="shared" si="60"/>
        <v>0</v>
      </c>
      <c r="AD106" s="413">
        <f t="shared" si="60"/>
        <v>0</v>
      </c>
      <c r="AE106" s="413">
        <f t="shared" si="60"/>
        <v>0</v>
      </c>
      <c r="AF106" s="413">
        <f t="shared" si="60"/>
        <v>0</v>
      </c>
      <c r="AG106" s="413">
        <f t="shared" si="60"/>
        <v>0</v>
      </c>
      <c r="AH106" s="413">
        <f t="shared" si="60"/>
        <v>60045342.039999999</v>
      </c>
      <c r="AI106" s="413">
        <f t="shared" si="60"/>
        <v>67056566.409999996</v>
      </c>
      <c r="AJ106" s="413">
        <f t="shared" si="60"/>
        <v>28752029.5</v>
      </c>
      <c r="AK106" s="413">
        <f>SUM(AK107:AK109)</f>
        <v>206179864.96000001</v>
      </c>
      <c r="AL106" s="413">
        <f>SUM(AL107:AL109)</f>
        <v>199168640.59</v>
      </c>
      <c r="AM106" s="404">
        <f t="shared" si="53"/>
        <v>0.22840022161218804</v>
      </c>
      <c r="AN106" s="404">
        <f t="shared" si="54"/>
        <v>0.25506948762809317</v>
      </c>
      <c r="AO106" s="177">
        <f>SUM(AO107:AO109)</f>
        <v>605220661</v>
      </c>
      <c r="AP106" s="177">
        <f>SUM(AP107:AP109)</f>
        <v>591655051</v>
      </c>
      <c r="AQ106" s="140"/>
      <c r="AS106" s="415"/>
      <c r="AT106" s="415"/>
      <c r="AU106" s="416"/>
      <c r="AV106" s="416"/>
      <c r="AW106" s="416"/>
    </row>
    <row r="107" spans="1:49" ht="13.5" x14ac:dyDescent="0.25">
      <c r="A107" s="178" t="s">
        <v>33</v>
      </c>
      <c r="B107" s="179" t="e">
        <f t="array" ref="B107">SUM(IF('[5]2013-2016 Projects'!$D$4:$D$202="Planning and development",'[5]2013-2016 Projects'!$V$4:$V$202,0))</f>
        <v>#REF!</v>
      </c>
      <c r="C107" s="179" t="e">
        <f t="array" ref="C107">SUM(IF('[5]2013-2016 Projects'!$D$4:$D$202="Planning and development",'[5]2013-2016 Projects'!$V$4:$V$202,0))</f>
        <v>#REF!</v>
      </c>
      <c r="D107" s="179" t="e">
        <f t="array" ref="D107">SUM(IF('[5]2013-2016 Projects'!$D$4:$D$202="Planning and development",'[5]2013-2016 Projects'!$V$4:$V$202,0))</f>
        <v>#REF!</v>
      </c>
      <c r="E107" s="179" t="e">
        <f t="array" ref="E107">SUM(IF('[5]2013-2016 Projects'!$D$4:$D$202="Planning and development",'[5]2013-2016 Projects'!$V$4:$V$202,0))</f>
        <v>#REF!</v>
      </c>
      <c r="F107" s="179" t="e">
        <f t="array" ref="F107">SUM(IF('[5]2013-2016 Projects'!$D$4:$D$202="Planning and development",'[5]2013-2016 Projects'!$V$4:$V$202,0))</f>
        <v>#REF!</v>
      </c>
      <c r="G107" s="179"/>
      <c r="H107" s="143">
        <f t="array" ref="H107">SUM(IF('2014-2017 Projects'!$I$5:$I$258="Planning and development",'2014-2017 Projects'!$AK$5:$AK$258,0))</f>
        <v>54895288</v>
      </c>
      <c r="I107" s="143">
        <f t="array" ref="I107">SUM(IF('2014-2017 Projects'!$I$5:$I$258="Planning and development",'2014-2017 Projects'!$AM$5:$AM$258,0))</f>
        <v>56525207</v>
      </c>
      <c r="J107" s="143">
        <f t="array" ref="J107">SUM(IF('2014-2017 Projects'!$I$5:$I$258="Planning and development",'2014-2017 Projects'!$AN$5:$AN$258,0))</f>
        <v>52995</v>
      </c>
      <c r="K107" s="143">
        <f t="array" ref="K107">SUM(IF('2014-2017 Projects'!$I$5:$I$258="Planning and development",'2014-2017 Projects'!$AP$5:$AP$258,0))</f>
        <v>54571.4</v>
      </c>
      <c r="L107" s="143">
        <f t="array" ref="L107">SUM(IF('2014-2017 Projects'!$I$5:$I$258="Planning and development",'2014-2017 Projects'!$AQ$5:$AQ$258,0))</f>
        <v>2901318.5</v>
      </c>
      <c r="M107" s="143">
        <f t="array" ref="M107">SUM(IF('2014-2017 Projects'!$I$5:$I$258="Planning and development",'2014-2017 Projects'!$AS$5:$AS$258,0))</f>
        <v>3177418.3</v>
      </c>
      <c r="N107" s="143">
        <f t="array" ref="N107">SUM(IF('2014-2017 Projects'!$I$5:$I$258="Planning and development",'2014-2017 Projects'!$AT$5:$AT$258,0))</f>
        <v>2096477.84</v>
      </c>
      <c r="O107" s="143">
        <f t="array" ref="O107">SUM(IF('2014-2017 Projects'!$I$5:$I$258="Planning and development",'2014-2017 Projects'!$AV$5:$AV$258,0))</f>
        <v>2325205.8099999996</v>
      </c>
      <c r="P107" s="143">
        <f t="array" ref="P107">SUM(IF('2014-2017 Projects'!$I$5:$I$258="Planning and development",'2014-2017 Projects'!$AW$5:$AW$258,0))</f>
        <v>1406454.44</v>
      </c>
      <c r="Q107" s="143">
        <f t="array" ref="Q107">SUM(IF('2014-2017 Projects'!$I$5:$I$258="Planning and development",'2014-2017 Projects'!$AY$5:$AY$258,0))</f>
        <v>1408030.84</v>
      </c>
      <c r="R107" s="143"/>
      <c r="S107" s="143"/>
      <c r="T107" s="143"/>
      <c r="U107" s="143"/>
      <c r="V107" s="143"/>
      <c r="W107" s="143"/>
      <c r="X107" s="143"/>
      <c r="Y107" s="143"/>
      <c r="Z107" s="143"/>
      <c r="AA107" s="143"/>
      <c r="AB107" s="143"/>
      <c r="AC107" s="143"/>
      <c r="AD107" s="143"/>
      <c r="AE107" s="143"/>
      <c r="AF107" s="143"/>
      <c r="AG107" s="143"/>
      <c r="AH107" s="143">
        <f t="array" ref="AH107">SUM(IF('2014-2017 Projects'!$I$5:$I$258="Planning and development",'2014-2017 Projects'!$BY$5:$BY$258,0))</f>
        <v>6457245.7799999993</v>
      </c>
      <c r="AI107" s="143">
        <f t="array" ref="AI107">SUM(IF('2014-2017 Projects'!$I$5:$I$258="Planning and development",'2014-2017 Projects'!$BZ$5:$BZ$258,0))</f>
        <v>6965226.3499999996</v>
      </c>
      <c r="AJ107" s="143">
        <f t="array" ref="AJ107">SUM(IF('2014-2017 Projects'!$I$5:$I$258="Planning and development",'2014-2017 Projects'!$BX$5:$BX$258,0))</f>
        <v>11221667.58</v>
      </c>
      <c r="AK107" s="143">
        <f t="shared" si="55"/>
        <v>50067961.219999999</v>
      </c>
      <c r="AL107" s="143">
        <f t="shared" ref="AL107:AL114" si="62">I107-AI107</f>
        <v>49559980.649999999</v>
      </c>
      <c r="AM107" s="405">
        <f t="shared" si="53"/>
        <v>0.11762841612198116</v>
      </c>
      <c r="AN107" s="405">
        <f t="shared" si="54"/>
        <v>0.12688204404720491</v>
      </c>
      <c r="AO107" s="179">
        <f t="array" ref="AO107">SUM(IF('2014-2017 Projects'!$I$5:$I$258="Planning and development",'2014-2017 Projects'!$CG$5:$CG$258,0))</f>
        <v>52220661</v>
      </c>
      <c r="AP107" s="179">
        <f t="array" ref="AP107">SUM(IF('2014-2017 Projects'!$I$5:$I$258="Planning and development",'2014-2017 Projects'!$CH$5:$CH$258,0))</f>
        <v>83655051</v>
      </c>
    </row>
    <row r="108" spans="1:49" ht="13.5" x14ac:dyDescent="0.25">
      <c r="A108" s="178" t="s">
        <v>34</v>
      </c>
      <c r="B108" s="179" t="e">
        <f t="array" ref="B108">SUM(IF('[5]2013-2016 Projects'!$D$4:$D$202="Road transport",'[5]2013-2016 Projects'!$V$4:$V$202,0))</f>
        <v>#REF!</v>
      </c>
      <c r="C108" s="179" t="e">
        <f t="array" ref="C108">SUM(IF('[5]2013-2016 Projects'!$D$4:$D$202="Road transport",'[5]2013-2016 Projects'!$V$4:$V$202,0))</f>
        <v>#REF!</v>
      </c>
      <c r="D108" s="179" t="e">
        <f t="array" ref="D108">SUM(IF('[5]2013-2016 Projects'!$D$4:$D$202="Road transport",'[5]2013-2016 Projects'!$V$4:$V$202,0))</f>
        <v>#REF!</v>
      </c>
      <c r="E108" s="179" t="e">
        <f t="array" ref="E108">SUM(IF('[5]2013-2016 Projects'!$D$4:$D$202="Road transport",'[5]2013-2016 Projects'!$V$4:$V$202,0))</f>
        <v>#REF!</v>
      </c>
      <c r="F108" s="179" t="e">
        <f t="array" ref="F108">SUM(IF('[5]2013-2016 Projects'!$D$4:$D$202="Road transport",'[5]2013-2016 Projects'!$V$4:$V$202,0))</f>
        <v>#REF!</v>
      </c>
      <c r="G108" s="179"/>
      <c r="H108" s="143">
        <f t="array" ref="H108">SUM(IF('2014-2017 Projects'!$I$5:$I$258="Road Transport",'2014-2017 Projects'!$AK$5:$AK$258,0))</f>
        <v>198000000</v>
      </c>
      <c r="I108" s="143">
        <f t="array" ref="I108">SUM(IF('2014-2017 Projects'!$I$5:$I$258="Road Transport",'2014-2017 Projects'!$AM$5:$AM$258,0))</f>
        <v>198000000</v>
      </c>
      <c r="J108" s="143">
        <f t="array" ref="J108">SUM(IF('2014-2017 Projects'!$I$5:$I$258="Road Transport",'2014-2017 Projects'!$AN$5:$AN$258,0))</f>
        <v>-47814.16</v>
      </c>
      <c r="K108" s="143">
        <f t="array" ref="K108">SUM(IF('2014-2017 Projects'!$I$5:$I$258="Road Transport",'2014-2017 Projects'!$AP$5:$AP$258,0))</f>
        <v>-47814.16</v>
      </c>
      <c r="L108" s="143">
        <f t="array" ref="L108">SUM(IF('2014-2017 Projects'!$I$5:$I$258="Road Transport",'2014-2017 Projects'!$AQ$5:$AQ$258,0))</f>
        <v>9974048.5600000005</v>
      </c>
      <c r="M108" s="143">
        <f t="array" ref="M108">SUM(IF('2014-2017 Projects'!$I$5:$I$258="Road Transport",'2014-2017 Projects'!$AS$5:$AS$258,0))</f>
        <v>11314616.130000001</v>
      </c>
      <c r="N108" s="143">
        <f t="array" ref="N108">SUM(IF('2014-2017 Projects'!$I$5:$I$258="Road Transport",'2014-2017 Projects'!$AT$5:$AT$258,0))</f>
        <v>19383637.41</v>
      </c>
      <c r="O108" s="143">
        <f t="array" ref="O108">SUM(IF('2014-2017 Projects'!$I$5:$I$258="Road Transport",'2014-2017 Projects'!$AV$5:$AV$258,0))</f>
        <v>21311489.229999997</v>
      </c>
      <c r="P108" s="143">
        <f t="array" ref="P108">SUM(IF('2014-2017 Projects'!$I$5:$I$258="Road Transport",'2014-2017 Projects'!$AW$5:$AW$258,0))</f>
        <v>24278224.449999999</v>
      </c>
      <c r="Q108" s="143">
        <f t="array" ref="Q108">SUM(IF('2014-2017 Projects'!$I$5:$I$258="Road Transport",'2014-2017 Projects'!$AY$5:$AY$258,0))</f>
        <v>27513048.860000003</v>
      </c>
      <c r="R108" s="143"/>
      <c r="S108" s="143"/>
      <c r="T108" s="143"/>
      <c r="U108" s="143"/>
      <c r="V108" s="143"/>
      <c r="W108" s="143"/>
      <c r="X108" s="143"/>
      <c r="Y108" s="143"/>
      <c r="Z108" s="143"/>
      <c r="AA108" s="143"/>
      <c r="AB108" s="143"/>
      <c r="AC108" s="143"/>
      <c r="AD108" s="143"/>
      <c r="AE108" s="143"/>
      <c r="AF108" s="143"/>
      <c r="AG108" s="143"/>
      <c r="AH108" s="143">
        <f t="array" ref="AH108">SUM(IF('2014-2017 Projects'!$I$5:$I$258="Road Transport",'2014-2017 Projects'!$BY$5:$BY$258,0))</f>
        <v>53588096.259999998</v>
      </c>
      <c r="AI108" s="143">
        <f t="array" ref="AI108">SUM(IF('2014-2017 Projects'!$I$5:$I$258="Road Transport",'2014-2017 Projects'!$BZ$5:$BZ$258,0))</f>
        <v>60091340.059999995</v>
      </c>
      <c r="AJ108" s="143">
        <f t="array" ref="AJ108">SUM(IF('2014-2017 Projects'!$I$5:$I$258="Road Transport",'2014-2017 Projects'!$BX$5:$BX$258,0))</f>
        <v>12115133.68</v>
      </c>
      <c r="AK108" s="143">
        <f t="shared" si="55"/>
        <v>144411903.74000001</v>
      </c>
      <c r="AL108" s="143">
        <f t="shared" si="62"/>
        <v>137908659.94</v>
      </c>
      <c r="AM108" s="405">
        <f t="shared" si="53"/>
        <v>0.27064695080808082</v>
      </c>
      <c r="AN108" s="405">
        <f t="shared" si="54"/>
        <v>0.30349161646464645</v>
      </c>
      <c r="AO108" s="179">
        <f t="array" ref="AO108">SUM(IF('2014-2017 Projects'!$I$5:$I$258="Road Transport",'2014-2017 Projects'!$CG$5:$CG$258,0))</f>
        <v>545000000</v>
      </c>
      <c r="AP108" s="179">
        <f t="array" ref="AP108">SUM(IF('2014-2017 Projects'!$I$5:$I$258="Road Transport",'2014-2017 Projects'!$CH$5:$CH$258,0))</f>
        <v>500000000</v>
      </c>
    </row>
    <row r="109" spans="1:49" ht="13.5" x14ac:dyDescent="0.25">
      <c r="A109" s="178" t="s">
        <v>327</v>
      </c>
      <c r="B109" s="179" t="e">
        <f t="array" ref="B109">SUM(IF('[5]2013-2016 Projects'!$D$4:$D$202="Environmental protection",'[5]2013-2016 Projects'!$V$4:$V$202,0))</f>
        <v>#REF!</v>
      </c>
      <c r="C109" s="179" t="e">
        <f t="array" ref="C109">SUM(IF('[5]2013-2016 Projects'!$D$4:$D$202="Environmental protection",'[5]2013-2016 Projects'!$V$4:$V$202,0))</f>
        <v>#REF!</v>
      </c>
      <c r="D109" s="179" t="e">
        <f t="array" ref="D109">SUM(IF('[5]2013-2016 Projects'!$D$4:$D$202="Environmental protection",'[5]2013-2016 Projects'!$V$4:$V$202,0))</f>
        <v>#REF!</v>
      </c>
      <c r="E109" s="179" t="e">
        <f t="array" ref="E109">SUM(IF('[5]2013-2016 Projects'!$D$4:$D$202="Environmental protection",'[5]2013-2016 Projects'!$V$4:$V$202,0))</f>
        <v>#REF!</v>
      </c>
      <c r="F109" s="179" t="e">
        <f t="array" ref="F109">SUM(IF('[5]2013-2016 Projects'!$D$4:$D$202="Environmental protection",'[5]2013-2016 Projects'!$V$4:$V$202,0))</f>
        <v>#REF!</v>
      </c>
      <c r="G109" s="179"/>
      <c r="H109" s="143">
        <f t="array" ref="H109">SUM(IF('2014-2017 Projects'!$I$5:$I$258="Environmental Protection",'2014-2017 Projects'!$AK$5:$AK$258,0))</f>
        <v>10000000</v>
      </c>
      <c r="I109" s="143">
        <f t="array" ref="I109">SUM(IF('2014-2017 Projects'!$I$5:$I$258="Environmental Protection",'2014-2017 Projects'!$AM$5:$AM$258,0))</f>
        <v>11700000</v>
      </c>
      <c r="J109" s="143">
        <f t="array" ref="J109">SUM(IF('2014-2017 Projects'!$I$5:$I$258="Environmental Protection",'2014-2017 Projects'!$AN$5:$AN$258,0))</f>
        <v>0</v>
      </c>
      <c r="K109" s="143">
        <f t="array" ref="K109">SUM(IF('2014-2017 Projects'!$I$5:$I$258="Environmental Protection",'2014-2017 Projects'!$AP$5:$AP$258,0))</f>
        <v>0</v>
      </c>
      <c r="L109" s="143">
        <f t="array" ref="L109">SUM(IF('2014-2017 Projects'!$I$5:$I$258="Environmental Protection",'2014-2017 Projects'!$AQ$5:$AQ$258,0))</f>
        <v>0</v>
      </c>
      <c r="M109" s="143">
        <f t="array" ref="M109">SUM(IF('2014-2017 Projects'!$I$5:$I$258="Environmental Protection",'2014-2017 Projects'!$AS$5:$AS$258,0))</f>
        <v>0</v>
      </c>
      <c r="N109" s="143">
        <f t="array" ref="N109">SUM(IF('2014-2017 Projects'!$I$5:$I$258="Environmental Protection",'2014-2017 Projects'!$AT$5:$AT$258,0))</f>
        <v>0</v>
      </c>
      <c r="O109" s="143">
        <f t="array" ref="O109">SUM(IF('2014-2017 Projects'!$I$5:$I$258="Environmental Protection",'2014-2017 Projects'!$AV$5:$AV$258,0))</f>
        <v>0</v>
      </c>
      <c r="P109" s="143">
        <f t="array" ref="P109">SUM(IF('2014-2017 Projects'!$I$5:$I$258="Environmental Protection",'2014-2017 Projects'!$AW$5:$AW$258,0))</f>
        <v>0</v>
      </c>
      <c r="Q109" s="143">
        <f t="array" ref="Q109">SUM(IF('2014-2017 Projects'!$I$5:$I$258="Environmental Protection",'2014-2017 Projects'!$AY$5:$AY$258,0))</f>
        <v>0</v>
      </c>
      <c r="R109" s="143"/>
      <c r="S109" s="143"/>
      <c r="T109" s="143"/>
      <c r="U109" s="143"/>
      <c r="V109" s="143"/>
      <c r="W109" s="143"/>
      <c r="X109" s="143"/>
      <c r="Y109" s="143"/>
      <c r="Z109" s="143"/>
      <c r="AA109" s="143"/>
      <c r="AB109" s="143"/>
      <c r="AC109" s="143"/>
      <c r="AD109" s="143"/>
      <c r="AE109" s="143"/>
      <c r="AF109" s="143"/>
      <c r="AG109" s="143"/>
      <c r="AH109" s="143">
        <f t="array" ref="AH109">SUM(IF('2014-2017 Projects'!$I$5:$I$258="Environmental Protection",'2014-2017 Projects'!$BY$5:$BY$258,0))</f>
        <v>0</v>
      </c>
      <c r="AI109" s="143">
        <f t="array" ref="AI109">SUM(IF('2014-2017 Projects'!$I$5:$I$258="Environmental Protection",'2014-2017 Projects'!$BZ$5:$BZ$258,0))</f>
        <v>0</v>
      </c>
      <c r="AJ109" s="143">
        <f t="array" ref="AJ109">SUM(IF('2014-2017 Projects'!$I$5:$I$258="Environmental Protection",'2014-2017 Projects'!$BX$5:$BX$258,0))</f>
        <v>5415228.2400000002</v>
      </c>
      <c r="AK109" s="143">
        <f t="shared" si="55"/>
        <v>11700000</v>
      </c>
      <c r="AL109" s="143">
        <f t="shared" si="62"/>
        <v>11700000</v>
      </c>
      <c r="AM109" s="405">
        <f t="shared" si="53"/>
        <v>0</v>
      </c>
      <c r="AN109" s="405">
        <f t="shared" si="54"/>
        <v>0</v>
      </c>
      <c r="AO109" s="179">
        <f t="array" ref="AO109">SUM(IF('2014-2017 Projects'!$I$5:$I$258="Environmental Protection",'2014-2017 Projects'!$CG$5:$CG$258,0))</f>
        <v>8000000</v>
      </c>
      <c r="AP109" s="179">
        <f t="array" ref="AP109">SUM(IF('2014-2017 Projects'!$I$5:$I$258="Environmental Protection",'2014-2017 Projects'!$CH$5:$CH$258,0))</f>
        <v>8000000</v>
      </c>
    </row>
    <row r="110" spans="1:49" s="414" customFormat="1" ht="13.5" x14ac:dyDescent="0.25">
      <c r="A110" s="176" t="s">
        <v>328</v>
      </c>
      <c r="B110" s="177" t="e">
        <f>SUM(B111:B114)</f>
        <v>#REF!</v>
      </c>
      <c r="C110" s="177" t="e">
        <f>SUM(C111:C114)</f>
        <v>#REF!</v>
      </c>
      <c r="D110" s="177" t="e">
        <f>SUM(D111:D114)</f>
        <v>#REF!</v>
      </c>
      <c r="E110" s="177" t="e">
        <f>SUM(E111:E114)</f>
        <v>#REF!</v>
      </c>
      <c r="F110" s="177" t="e">
        <f>SUM(F111:F114)</f>
        <v>#REF!</v>
      </c>
      <c r="G110" s="177"/>
      <c r="H110" s="413">
        <f>SUM(H111:H114)</f>
        <v>503195618</v>
      </c>
      <c r="I110" s="413">
        <f>SUM(I111:I114)</f>
        <v>571251420</v>
      </c>
      <c r="J110" s="413">
        <f t="shared" ref="J110:AJ110" si="63">SUM(J111:J114)</f>
        <v>-165484.90999999997</v>
      </c>
      <c r="K110" s="413">
        <f t="shared" si="63"/>
        <v>-165484.90999999997</v>
      </c>
      <c r="L110" s="413">
        <f t="shared" si="63"/>
        <v>15423951.129999999</v>
      </c>
      <c r="M110" s="413">
        <f t="shared" si="63"/>
        <v>16963463.099999998</v>
      </c>
      <c r="N110" s="413">
        <f t="shared" si="63"/>
        <v>31278038.019999996</v>
      </c>
      <c r="O110" s="413">
        <f t="shared" si="63"/>
        <v>33571374.899999999</v>
      </c>
      <c r="P110" s="413">
        <f t="shared" ref="P110:Q110" si="64">SUM(P111:P114)</f>
        <v>37054814.940000005</v>
      </c>
      <c r="Q110" s="413">
        <f t="shared" si="64"/>
        <v>39261863.090000004</v>
      </c>
      <c r="R110" s="413">
        <f t="shared" si="63"/>
        <v>0</v>
      </c>
      <c r="S110" s="413">
        <f t="shared" si="63"/>
        <v>0</v>
      </c>
      <c r="T110" s="413">
        <f t="shared" si="63"/>
        <v>0</v>
      </c>
      <c r="U110" s="413">
        <f t="shared" si="63"/>
        <v>0</v>
      </c>
      <c r="V110" s="413">
        <f t="shared" si="63"/>
        <v>0</v>
      </c>
      <c r="W110" s="413">
        <f t="shared" si="63"/>
        <v>0</v>
      </c>
      <c r="X110" s="413">
        <f t="shared" si="63"/>
        <v>0</v>
      </c>
      <c r="Y110" s="413">
        <f t="shared" si="63"/>
        <v>0</v>
      </c>
      <c r="Z110" s="413">
        <f t="shared" si="63"/>
        <v>0</v>
      </c>
      <c r="AA110" s="413">
        <f t="shared" si="63"/>
        <v>0</v>
      </c>
      <c r="AB110" s="413">
        <f t="shared" si="63"/>
        <v>0</v>
      </c>
      <c r="AC110" s="413">
        <f t="shared" si="63"/>
        <v>0</v>
      </c>
      <c r="AD110" s="413">
        <f t="shared" si="63"/>
        <v>0</v>
      </c>
      <c r="AE110" s="413">
        <f t="shared" si="63"/>
        <v>0</v>
      </c>
      <c r="AF110" s="413">
        <f t="shared" si="63"/>
        <v>0</v>
      </c>
      <c r="AG110" s="413">
        <f t="shared" si="63"/>
        <v>0</v>
      </c>
      <c r="AH110" s="413">
        <f t="shared" si="63"/>
        <v>83591319.179999992</v>
      </c>
      <c r="AI110" s="413">
        <f t="shared" si="63"/>
        <v>89631216.179999992</v>
      </c>
      <c r="AJ110" s="413">
        <f t="shared" si="63"/>
        <v>49423007.340000004</v>
      </c>
      <c r="AK110" s="413">
        <f>SUM(AK111:AK114)</f>
        <v>487660100.81999999</v>
      </c>
      <c r="AL110" s="413">
        <f>SUM(AL111:AL114)</f>
        <v>481620203.81999999</v>
      </c>
      <c r="AM110" s="404">
        <f t="shared" si="53"/>
        <v>0.16612092035348366</v>
      </c>
      <c r="AN110" s="404">
        <f t="shared" si="54"/>
        <v>0.17812399983976013</v>
      </c>
      <c r="AO110" s="177">
        <f>SUM(AO111:AO114)</f>
        <v>518210100</v>
      </c>
      <c r="AP110" s="177">
        <f>SUM(AP111:AP114)</f>
        <v>424912415</v>
      </c>
      <c r="AQ110" s="140"/>
      <c r="AS110" s="415"/>
      <c r="AT110" s="415"/>
      <c r="AU110" s="416"/>
      <c r="AV110" s="416"/>
      <c r="AW110" s="416"/>
    </row>
    <row r="111" spans="1:49" ht="13.5" x14ac:dyDescent="0.25">
      <c r="A111" s="178" t="s">
        <v>14</v>
      </c>
      <c r="B111" s="179" t="e">
        <f t="array" ref="B111">SUM(IF('[5]2013-2016 Projects'!$D$4:$D$202="Electricity",'[5]2013-2016 Projects'!$V$4:$V$202,0))</f>
        <v>#REF!</v>
      </c>
      <c r="C111" s="179" t="e">
        <f t="array" ref="C111">SUM(IF('[5]2013-2016 Projects'!$D$4:$D$202="Electricity",'[5]2013-2016 Projects'!$V$4:$V$202,0))</f>
        <v>#REF!</v>
      </c>
      <c r="D111" s="179" t="e">
        <f t="array" ref="D111">SUM(IF('[5]2013-2016 Projects'!$D$4:$D$202="Electricity",'[5]2013-2016 Projects'!$V$4:$V$202,0))</f>
        <v>#REF!</v>
      </c>
      <c r="E111" s="179" t="e">
        <f t="array" ref="E111">SUM(IF('[5]2013-2016 Projects'!$D$4:$D$202="Electricity",'[5]2013-2016 Projects'!$V$4:$V$202,0))</f>
        <v>#REF!</v>
      </c>
      <c r="F111" s="179" t="e">
        <f t="array" ref="F111">SUM(IF('[5]2013-2016 Projects'!$D$4:$D$202="Electricity",'[5]2013-2016 Projects'!$V$4:$V$202,0))</f>
        <v>#REF!</v>
      </c>
      <c r="G111" s="179"/>
      <c r="H111" s="143">
        <f t="array" ref="H111">SUM(IF('2014-2017 Projects'!$I$5:$I$258="Electricity",'2014-2017 Projects'!$AK$5:$AK$258,0))</f>
        <v>152999000</v>
      </c>
      <c r="I111" s="143">
        <f t="array" ref="I111">SUM(IF('2014-2017 Projects'!$I$5:$I$258="Electricity",'2014-2017 Projects'!$AM$5:$AM$258,0))</f>
        <v>159996668</v>
      </c>
      <c r="J111" s="143">
        <f t="array" ref="J111">SUM(IF('2014-2017 Projects'!$I$5:$I$258="Electricity",'2014-2017 Projects'!$AN5:$AN$258,0))</f>
        <v>34346</v>
      </c>
      <c r="K111" s="143">
        <f t="array" ref="K111">SUM(IF('2014-2017 Projects'!$I$5:$I$258="Electricity",'2014-2017 Projects'!$AP$5:$AP$258,0))</f>
        <v>34346</v>
      </c>
      <c r="L111" s="143">
        <f t="array" ref="L111">SUM(IF('2014-2017 Projects'!$I$5:$I$258="Electricity",'2014-2017 Projects'!$AQ$5:$AQ$258,0))</f>
        <v>2854705.3799999994</v>
      </c>
      <c r="M111" s="143">
        <f t="array" ref="M111">SUM(IF('2014-2017 Projects'!$I$5:$I$258="Electricity",'2014-2017 Projects'!$AS$5:$AS$258,0))</f>
        <v>2873139.9199999995</v>
      </c>
      <c r="N111" s="143">
        <f t="array" ref="N111">SUM(IF('2014-2017 Projects'!$I$5:$I$258="Electricity",'2014-2017 Projects'!$AT$5:$AT$258,0))</f>
        <v>19032534.939999998</v>
      </c>
      <c r="O111" s="143">
        <f t="array" ref="O111">SUM(IF('2014-2017 Projects'!$I$5:$I$258="Electricity",'2014-2017 Projects'!$AV$5:$AV$258,0))</f>
        <v>19508345.34</v>
      </c>
      <c r="P111" s="143">
        <f t="array" ref="P111">SUM(IF('2014-2017 Projects'!$I$5:$I$258="Electricity",'2014-2017 Projects'!$AW$5:$AW$258,0))</f>
        <v>23988369.690000001</v>
      </c>
      <c r="Q111" s="143">
        <f t="array" ref="Q111">SUM(IF('2014-2017 Projects'!$I$5:$I$258="Electricity",'2014-2017 Projects'!$AY$5:$AY$258,0))</f>
        <v>24927246.149999999</v>
      </c>
      <c r="R111" s="143"/>
      <c r="S111" s="143"/>
      <c r="T111" s="143"/>
      <c r="U111" s="143"/>
      <c r="V111" s="143"/>
      <c r="W111" s="143"/>
      <c r="X111" s="143"/>
      <c r="Y111" s="143"/>
      <c r="Z111" s="143"/>
      <c r="AA111" s="143"/>
      <c r="AB111" s="143"/>
      <c r="AC111" s="143"/>
      <c r="AD111" s="143"/>
      <c r="AE111" s="143"/>
      <c r="AF111" s="143"/>
      <c r="AG111" s="143"/>
      <c r="AH111" s="143">
        <f t="array" ref="AH111">SUM(IF('2014-2017 Projects'!$I$5:$I$258="Electricity",'2014-2017 Projects'!$BY$5:$BY$258,0))</f>
        <v>45909956.010000005</v>
      </c>
      <c r="AI111" s="143">
        <f t="array" ref="AI111">SUM(IF('2014-2017 Projects'!$I$5:$I$258="Electricity",'2014-2017 Projects'!$BZ$5:$BZ$258,0))</f>
        <v>47343077.410000004</v>
      </c>
      <c r="AJ111" s="143">
        <f t="array" ref="AJ111">SUM(IF('2014-2017 Projects'!$I$5:$I$258="Electricity",'2014-2017 Projects'!$BX$5:$BX$258,0))</f>
        <v>16898187.66</v>
      </c>
      <c r="AK111" s="143">
        <f t="shared" si="55"/>
        <v>114086711.98999999</v>
      </c>
      <c r="AL111" s="143">
        <f t="shared" si="62"/>
        <v>112653590.59</v>
      </c>
      <c r="AM111" s="405">
        <f t="shared" si="53"/>
        <v>0.30006703318322347</v>
      </c>
      <c r="AN111" s="405">
        <f t="shared" si="54"/>
        <v>0.30943390094052903</v>
      </c>
      <c r="AO111" s="179">
        <f t="array" ref="AO111">SUM(IF('2014-2017 Projects'!$I$5:$I$258="Electricity",'2014-2017 Projects'!$CG$5:$CG$258,0))</f>
        <v>160500000</v>
      </c>
      <c r="AP111" s="179">
        <f t="array" ref="AP111">SUM(IF('2014-2017 Projects'!$I$5:$I$258="Electricity",'2014-2017 Projects'!$CH$5:$CH$258,0))</f>
        <v>166500000</v>
      </c>
    </row>
    <row r="112" spans="1:49" ht="13.5" x14ac:dyDescent="0.25">
      <c r="A112" s="178" t="s">
        <v>35</v>
      </c>
      <c r="B112" s="179" t="e">
        <f t="array" ref="B112">SUM(IF('[5]2013-2016 Projects'!$D$4:$D$202="Water",'[5]2013-2016 Projects'!$V$4:$V$202,0))</f>
        <v>#REF!</v>
      </c>
      <c r="C112" s="179" t="e">
        <f t="array" ref="C112">SUM(IF('[5]2013-2016 Projects'!$D$4:$D$202="Water",'[5]2013-2016 Projects'!$V$4:$V$202,0))</f>
        <v>#REF!</v>
      </c>
      <c r="D112" s="179" t="e">
        <f t="array" ref="D112">SUM(IF('[5]2013-2016 Projects'!$D$4:$D$202="Water",'[5]2013-2016 Projects'!$V$4:$V$202,0))</f>
        <v>#REF!</v>
      </c>
      <c r="E112" s="179" t="e">
        <f t="array" ref="E112">SUM(IF('[5]2013-2016 Projects'!$D$4:$D$202="Water",'[5]2013-2016 Projects'!$V$4:$V$202,0))</f>
        <v>#REF!</v>
      </c>
      <c r="F112" s="179" t="e">
        <f t="array" ref="F112">SUM(IF('[5]2013-2016 Projects'!$D$4:$D$202="Water",'[5]2013-2016 Projects'!$V$4:$V$202,0))</f>
        <v>#REF!</v>
      </c>
      <c r="G112" s="179"/>
      <c r="H112" s="143">
        <f t="array" ref="H112">SUM(IF('2014-2017 Projects'!$I$5:$I$258="Water",'2014-2017 Projects'!$AK$5:$AK$258,0))</f>
        <v>97688726</v>
      </c>
      <c r="I112" s="143">
        <f t="array" ref="I112">SUM(IF('2014-2017 Projects'!$I$5:$I$258="Water",'2014-2017 Projects'!$AM$5:$AM$258,0))</f>
        <v>95114971</v>
      </c>
      <c r="J112" s="143">
        <f t="array" ref="J112">SUM(IF('2014-2017 Projects'!$I$5:$I$258="Water",'2014-2017 Projects'!$AN$5:$AN$258,0))</f>
        <v>0</v>
      </c>
      <c r="K112" s="143">
        <f t="array" ref="K112">SUM(IF('2014-2017 Projects'!$I$5:$I$258="Water",'2014-2017 Projects'!$AP$5:$AP$258,0))</f>
        <v>0</v>
      </c>
      <c r="L112" s="143">
        <f t="array" ref="L112">SUM(IF('2014-2017 Projects'!$I$5:$I$258="Water",'2014-2017 Projects'!$AQ$5:$AQ$258,0))</f>
        <v>1847692.21</v>
      </c>
      <c r="M112" s="143">
        <f t="array" ref="M112">SUM(IF('2014-2017 Projects'!$I$5:$I$258="Water",'2014-2017 Projects'!$AS$5:$AS$258,0))</f>
        <v>2052472.4200000002</v>
      </c>
      <c r="N112" s="143">
        <f t="array" ref="N112">SUM(IF('2014-2017 Projects'!$I$5:$I$258="Water",'2014-2017 Projects'!$AT$5:$AT$258,0))</f>
        <v>2223512.66</v>
      </c>
      <c r="O112" s="143">
        <f t="array" ref="O112">SUM(IF('2014-2017 Projects'!$I$5:$I$258="Water",'2014-2017 Projects'!$AV$5:$AV$258,0))</f>
        <v>2348646.58</v>
      </c>
      <c r="P112" s="143">
        <f t="array" ref="P112">SUM(IF('2014-2017 Projects'!$I$5:$I$258="Water",'2014-2017 Projects'!$AW$5:$AW$258,0))</f>
        <v>2998073.1799999997</v>
      </c>
      <c r="Q112" s="143">
        <f t="array" ref="Q112">SUM(IF('2014-2017 Projects'!$I$5:$I$258="Water",'2014-2017 Projects'!$AY$5:$AY$258,0))</f>
        <v>3218272.8499999996</v>
      </c>
      <c r="R112" s="143"/>
      <c r="S112" s="143"/>
      <c r="T112" s="143"/>
      <c r="U112" s="143"/>
      <c r="V112" s="143"/>
      <c r="W112" s="143"/>
      <c r="X112" s="143"/>
      <c r="Y112" s="143"/>
      <c r="Z112" s="143"/>
      <c r="AA112" s="143"/>
      <c r="AB112" s="143"/>
      <c r="AC112" s="143"/>
      <c r="AD112" s="143"/>
      <c r="AE112" s="143"/>
      <c r="AF112" s="143"/>
      <c r="AG112" s="143"/>
      <c r="AH112" s="143">
        <f t="array" ref="AH112">SUM(IF('2014-2017 Projects'!$I$5:$I$258="Water",'2014-2017 Projects'!$BY$5:$BY$258,0))</f>
        <v>7069278.0499999998</v>
      </c>
      <c r="AI112" s="143">
        <f t="array" ref="AI112">SUM(IF('2014-2017 Projects'!$I$5:$I$258="Water",'2014-2017 Projects'!$BZ$5:$BZ$258,0))</f>
        <v>7619391.8500000006</v>
      </c>
      <c r="AJ112" s="143">
        <f t="array" ref="AJ112">SUM(IF('2014-2017 Projects'!$I$5:$I$258="Water",'2014-2017 Projects'!$BX$5:$BX$258,0))</f>
        <v>11705483.790000001</v>
      </c>
      <c r="AK112" s="143">
        <f t="shared" si="55"/>
        <v>88045692.950000003</v>
      </c>
      <c r="AL112" s="143">
        <f t="shared" si="62"/>
        <v>87495579.150000006</v>
      </c>
      <c r="AM112" s="405">
        <f t="shared" si="53"/>
        <v>7.2365341830745139E-2</v>
      </c>
      <c r="AN112" s="405">
        <f t="shared" si="54"/>
        <v>7.7996634432513742E-2</v>
      </c>
      <c r="AO112" s="179">
        <f t="array" ref="AO112">SUM(IF('2014-2017 Projects'!$I$5:$I$258="Water",'2014-2017 Projects'!$CG$5:$CG$258,0))</f>
        <v>91000000</v>
      </c>
      <c r="AP112" s="179">
        <f t="array" ref="AP112">SUM(IF('2014-2017 Projects'!$I$5:$I$258="Water",'2014-2017 Projects'!$CH$5:$CH$258,0))</f>
        <v>91000000</v>
      </c>
    </row>
    <row r="113" spans="1:50" ht="13.5" x14ac:dyDescent="0.25">
      <c r="A113" s="178" t="s">
        <v>329</v>
      </c>
      <c r="B113" s="179" t="e">
        <f t="array" ref="B113">SUM(IF('[5]2013-2016 Projects'!$D$4:$D$202="Waste water management",'[5]2013-2016 Projects'!$V$4:$V$202,0))</f>
        <v>#REF!</v>
      </c>
      <c r="C113" s="179" t="e">
        <f t="array" ref="C113">SUM(IF('[5]2013-2016 Projects'!$D$4:$D$202="Waste water management",'[5]2013-2016 Projects'!$V$4:$V$202,0))</f>
        <v>#REF!</v>
      </c>
      <c r="D113" s="179" t="e">
        <f t="array" ref="D113">SUM(IF('[5]2013-2016 Projects'!$D$4:$D$202="Waste water management",'[5]2013-2016 Projects'!$V$4:$V$202,0))</f>
        <v>#REF!</v>
      </c>
      <c r="E113" s="179" t="e">
        <f t="array" ref="E113">SUM(IF('[5]2013-2016 Projects'!$D$4:$D$202="Waste water management",'[5]2013-2016 Projects'!$V$4:$V$202,0))</f>
        <v>#REF!</v>
      </c>
      <c r="F113" s="179" t="e">
        <f t="array" ref="F113">SUM(IF('[5]2013-2016 Projects'!$D$4:$D$202="Waste water management",'[5]2013-2016 Projects'!$V$4:$V$202,0))</f>
        <v>#REF!</v>
      </c>
      <c r="G113" s="179"/>
      <c r="H113" s="143">
        <f t="array" ref="H113">SUM(IF('2014-2017 Projects'!$I$5:$I$258="Waste water management",'2014-2017 Projects'!$AK$5:$AK$258,0))</f>
        <v>216507892</v>
      </c>
      <c r="I113" s="143">
        <f t="array" ref="I113">SUM(IF('2014-2017 Projects'!$I$5:$I$258="Waste water management",'2014-2017 Projects'!$AM$5:$AM$258,0))</f>
        <v>220656160</v>
      </c>
      <c r="J113" s="143">
        <f t="array" ref="J113">SUM(IF('2014-2017 Projects'!$I$5:$I$258="Waste water management",'2014-2017 Projects'!$AN$5:$AN$258,0))</f>
        <v>-199830.90999999997</v>
      </c>
      <c r="K113" s="143">
        <f t="array" ref="K113">SUM(IF('2014-2017 Projects'!$I$5:$I$258="Waste water management",'2014-2017 Projects'!$AP$5:$AP$258,0))</f>
        <v>-199830.90999999997</v>
      </c>
      <c r="L113" s="143">
        <f t="array" ref="L113">SUM(IF('2014-2017 Projects'!$I$5:$I$258="Waste water management",'2014-2017 Projects'!$AQ$5:$AQ$258,0))</f>
        <v>10076331.119999999</v>
      </c>
      <c r="M113" s="143">
        <f t="array" ref="M113">SUM(IF('2014-2017 Projects'!$I$5:$I$258="Waste water management",'2014-2017 Projects'!$AS$5:$AS$258,0))</f>
        <v>11392071.699999999</v>
      </c>
      <c r="N113" s="143">
        <f t="array" ref="N113">SUM(IF('2014-2017 Projects'!$I$5:$I$258="Waste water management",'2014-2017 Projects'!$AT$5:$AT$258,0))</f>
        <v>7571347.3499999996</v>
      </c>
      <c r="O113" s="143">
        <f t="array" ref="O113">SUM(IF('2014-2017 Projects'!$I$5:$I$258="Waste water management",'2014-2017 Projects'!$AV$5:$AV$258,0))</f>
        <v>9263739.9100000001</v>
      </c>
      <c r="P113" s="143">
        <f t="array" ref="P113">SUM(IF('2014-2017 Projects'!$I$5:$I$258="Waste water management",'2014-2017 Projects'!$AW$5:$AW$258,0))</f>
        <v>7829714.1199999992</v>
      </c>
      <c r="Q113" s="143">
        <f t="array" ref="Q113">SUM(IF('2014-2017 Projects'!$I$5:$I$258="Waste water management",'2014-2017 Projects'!$AY$5:$AY$258,0))</f>
        <v>8877686.1400000006</v>
      </c>
      <c r="R113" s="143"/>
      <c r="S113" s="143"/>
      <c r="T113" s="143"/>
      <c r="U113" s="143"/>
      <c r="V113" s="143"/>
      <c r="W113" s="143"/>
      <c r="X113" s="143"/>
      <c r="Y113" s="143"/>
      <c r="Z113" s="143"/>
      <c r="AA113" s="143"/>
      <c r="AB113" s="143"/>
      <c r="AC113" s="143"/>
      <c r="AD113" s="143"/>
      <c r="AE113" s="143"/>
      <c r="AF113" s="143"/>
      <c r="AG113" s="143"/>
      <c r="AH113" s="143">
        <f t="array" ref="AH113">SUM(IF('2014-2017 Projects'!$I$5:$I$258="Waste water management",'2014-2017 Projects'!$BY$5:$BY$258,0))</f>
        <v>25277561.679999996</v>
      </c>
      <c r="AI113" s="143">
        <f t="array" ref="AI113">SUM(IF('2014-2017 Projects'!$I$5:$I$258="Waste water management",'2014-2017 Projects'!$BZ$5:$BZ$258,0))</f>
        <v>29333666.839999996</v>
      </c>
      <c r="AJ113" s="143">
        <f t="array" ref="AJ113">SUM(IF('2014-2017 Projects'!$I$5:$I$258="Waste water management",'2014-2017 Projects'!$BX$5:$BX$258,0))</f>
        <v>1822399.27</v>
      </c>
      <c r="AK113" s="143">
        <f t="shared" si="55"/>
        <v>195378598.31999999</v>
      </c>
      <c r="AL113" s="143">
        <f t="shared" si="62"/>
        <v>191322493.16</v>
      </c>
      <c r="AM113" s="405">
        <f t="shared" si="53"/>
        <v>0.11675122530868295</v>
      </c>
      <c r="AN113" s="405">
        <f t="shared" si="54"/>
        <v>0.1354854392097633</v>
      </c>
      <c r="AO113" s="179">
        <f t="array" ref="AO113">SUM(IF('2014-2017 Projects'!$I$5:$I$258="Waste water management",'2014-2017 Projects'!$CG$5:$CG$258,0))</f>
        <v>230000000</v>
      </c>
      <c r="AP113" s="179">
        <f t="array" ref="AP113">SUM(IF('2014-2017 Projects'!$I$5:$I$258="Waste water management",'2014-2017 Projects'!$CH$5:$CH$258,0))</f>
        <v>137000000</v>
      </c>
    </row>
    <row r="114" spans="1:50" ht="13.5" x14ac:dyDescent="0.25">
      <c r="A114" s="178" t="s">
        <v>330</v>
      </c>
      <c r="B114" s="179" t="e">
        <f t="array" ref="B114">SUM(IF('[5]2013-2016 Projects'!$D$4:$D$202="Waste management",'[5]2013-2016 Projects'!$V$4:$V$202,0))</f>
        <v>#REF!</v>
      </c>
      <c r="C114" s="179" t="e">
        <f t="array" ref="C114">SUM(IF('[5]2013-2016 Projects'!$D$4:$D$202="Waste management",'[5]2013-2016 Projects'!$V$4:$V$202,0))</f>
        <v>#REF!</v>
      </c>
      <c r="D114" s="179" t="e">
        <f t="array" ref="D114">SUM(IF('[5]2013-2016 Projects'!$D$4:$D$202="Waste management",'[5]2013-2016 Projects'!$V$4:$V$202,0))</f>
        <v>#REF!</v>
      </c>
      <c r="E114" s="179" t="e">
        <f t="array" ref="E114">SUM(IF('[5]2013-2016 Projects'!$D$4:$D$202="Waste management",'[5]2013-2016 Projects'!$V$4:$V$202,0))</f>
        <v>#REF!</v>
      </c>
      <c r="F114" s="179" t="e">
        <f t="array" ref="F114">SUM(IF('[5]2013-2016 Projects'!$D$4:$D$202="Waste management",'[5]2013-2016 Projects'!$V$4:$V$202,0))</f>
        <v>#REF!</v>
      </c>
      <c r="G114" s="179"/>
      <c r="H114" s="143">
        <f t="array" ref="H114">SUM(IF('2014-2017 Projects'!$I$5:$I$258="Waste Management",'2014-2017 Projects'!$AK$5:$AK$258,0))</f>
        <v>36000000</v>
      </c>
      <c r="I114" s="143">
        <f t="array" ref="I114">SUM(IF('2014-2017 Projects'!$I$5:$I$258="Waste Management",'2014-2017 Projects'!$AM$5:$AM$258,0))</f>
        <v>95483621</v>
      </c>
      <c r="J114" s="143">
        <f t="array" ref="J114">SUM(IF('2014-2017 Projects'!$I$5:$I$258="Waste Management",'2014-2017 Projects'!$AN$5:$AN$258,0))</f>
        <v>0</v>
      </c>
      <c r="K114" s="143">
        <f t="array" ref="K114">SUM(IF('2014-2017 Projects'!$I$5:$I$258="Waste Management",'2014-2017 Projects'!$AP$5:$AP$258,0))</f>
        <v>0</v>
      </c>
      <c r="L114" s="143">
        <f t="array" ref="L114">SUM(IF('2014-2017 Projects'!$I$5:$I$258="Waste Management",'2014-2017 Projects'!$AQ$5:$AQ$258,0))</f>
        <v>645222.42000000004</v>
      </c>
      <c r="M114" s="143">
        <f t="array" ref="M114">SUM(IF('2014-2017 Projects'!$I$5:$I$258="Waste Management",'2014-2017 Projects'!$AS$5:$AS$258,0))</f>
        <v>645779.06000000006</v>
      </c>
      <c r="N114" s="143">
        <f t="array" ref="N114">SUM(IF('2014-2017 Projects'!$I$5:$I$258="Waste Management",'2014-2017 Projects'!$AT$5:$AT$258,0))</f>
        <v>2450643.0699999998</v>
      </c>
      <c r="O114" s="143">
        <f t="array" ref="O114">SUM(IF('2014-2017 Projects'!$I$5:$I$258="Waste Management",'2014-2017 Projects'!$AV$5:$AV$258,0))</f>
        <v>2450643.0699999998</v>
      </c>
      <c r="P114" s="143">
        <f t="array" ref="P114">SUM(IF('2014-2017 Projects'!$I$5:$I$258="Waste Management",'2014-2017 Projects'!$AW$5:$AW$258,0))</f>
        <v>2238657.9500000002</v>
      </c>
      <c r="Q114" s="143">
        <f t="array" ref="Q114">SUM(IF('2014-2017 Projects'!$I$5:$I$258="Waste Management",'2014-2017 Projects'!$AY$5:$AY$258,0))</f>
        <v>2238657.9500000002</v>
      </c>
      <c r="R114" s="143"/>
      <c r="S114" s="143"/>
      <c r="T114" s="143"/>
      <c r="U114" s="143"/>
      <c r="V114" s="143"/>
      <c r="W114" s="143"/>
      <c r="X114" s="143"/>
      <c r="Y114" s="143"/>
      <c r="Z114" s="143"/>
      <c r="AA114" s="143"/>
      <c r="AB114" s="143"/>
      <c r="AC114" s="143"/>
      <c r="AD114" s="143"/>
      <c r="AE114" s="143"/>
      <c r="AF114" s="143"/>
      <c r="AG114" s="143"/>
      <c r="AH114" s="143">
        <f t="array" ref="AH114">SUM(IF('2014-2017 Projects'!$I$5:$I$258="Waste Management",'2014-2017 Projects'!$BY$5:$BY$258,0))</f>
        <v>5334523.4400000004</v>
      </c>
      <c r="AI114" s="143">
        <f t="array" ref="AI114">SUM(IF('2014-2017 Projects'!$I$5:$I$258="Waste Management",'2014-2017 Projects'!$BZ$5:$BZ$258,0))</f>
        <v>5335080.08</v>
      </c>
      <c r="AJ114" s="143">
        <f t="array" ref="AJ114">SUM(IF('2014-2017 Projects'!$I$5:$I$258="Waste Management",'2014-2017 Projects'!$BX$5:$BX$258,0))</f>
        <v>18996936.619999997</v>
      </c>
      <c r="AK114" s="143">
        <f t="shared" si="55"/>
        <v>90149097.560000002</v>
      </c>
      <c r="AL114" s="143">
        <f t="shared" si="62"/>
        <v>90148540.920000002</v>
      </c>
      <c r="AM114" s="405">
        <f t="shared" si="53"/>
        <v>0.14818120666666668</v>
      </c>
      <c r="AN114" s="405">
        <f t="shared" si="54"/>
        <v>0.14819666888888888</v>
      </c>
      <c r="AO114" s="179">
        <f t="array" ref="AO114">SUM(IF('2014-2017 Projects'!$I$5:$I$258="Waste Management",'2014-2017 Projects'!$CG$5:$CG$258,0))</f>
        <v>36710100</v>
      </c>
      <c r="AP114" s="179">
        <f t="array" ref="AP114">SUM(IF('2014-2017 Projects'!$I$5:$I$258="Waste Management",'2014-2017 Projects'!$CH$5:$CH$258,0))</f>
        <v>30412415</v>
      </c>
    </row>
    <row r="115" spans="1:50" s="414" customFormat="1" ht="13.5" x14ac:dyDescent="0.25">
      <c r="A115" s="176" t="s">
        <v>36</v>
      </c>
      <c r="B115" s="417" t="e">
        <f t="array" ref="B115">SUM(IF('[5]2013-2016 Projects'!$D$4:$D$202="Other",'[5]2013-2016 Projects'!$V$4:$V$202,0))</f>
        <v>#REF!</v>
      </c>
      <c r="C115" s="417" t="e">
        <f t="array" ref="C115">SUM(IF('[5]2013-2016 Projects'!$D$4:$D$202="Other",'[5]2013-2016 Projects'!$V$4:$V$202,0))</f>
        <v>#REF!</v>
      </c>
      <c r="D115" s="417" t="e">
        <f t="array" ref="D115">SUM(IF('[5]2013-2016 Projects'!$D$4:$D$202="Other",'[5]2013-2016 Projects'!$V$4:$V$202,0))</f>
        <v>#REF!</v>
      </c>
      <c r="E115" s="417" t="e">
        <f t="array" ref="E115">SUM(IF('[5]2013-2016 Projects'!$D$4:$D$202="Other",'[5]2013-2016 Projects'!$V$4:$V$202,0))</f>
        <v>#REF!</v>
      </c>
      <c r="F115" s="417" t="e">
        <f t="array" ref="F115">SUM(IF('[5]2013-2016 Projects'!$D$4:$D$202="Other",'[5]2013-2016 Projects'!$V$4:$V$202,0))</f>
        <v>#REF!</v>
      </c>
      <c r="G115" s="417"/>
      <c r="H115" s="413">
        <f t="array" ref="H115">SUM(IF('2014-2017 Projects'!$I$5:$I$258="Other",'2014-2017 Projects'!$AK$5:$AK$258,0))</f>
        <v>500000</v>
      </c>
      <c r="I115" s="413">
        <f t="array" ref="I115">SUM(IF('2014-2017 Projects'!$I$5:$I$258="Other",'2014-2017 Projects'!$AM$5:$AM$258,0))</f>
        <v>500000</v>
      </c>
      <c r="J115" s="413">
        <f t="array" ref="J115">SUM(IF('2014-2017 Projects'!$I$5:$I$258="Other",'2014-2017 Projects'!$AN$5:$AN$258,0))</f>
        <v>0</v>
      </c>
      <c r="K115" s="413">
        <f t="array" ref="K115">SUM(IF('2014-2017 Projects'!$I$5:$I$258="Other",'2014-2017 Projects'!$AP$5:$AP$258,0))</f>
        <v>0</v>
      </c>
      <c r="L115" s="413">
        <f t="array" ref="L115">SUM(IF('2014-2017 Projects'!$I$5:$I$258="Other",'2014-2017 Projects'!$AQ$5:$AQ$258,0))</f>
        <v>0</v>
      </c>
      <c r="M115" s="413">
        <f t="array" ref="M115">SUM(IF('2014-2017 Projects'!$I$5:$I$258="Other",'2014-2017 Projects'!$AS$5:$AS$258,0))</f>
        <v>0</v>
      </c>
      <c r="N115" s="413">
        <f t="array" ref="N115">SUM(IF('2014-2017 Projects'!$I$5:$I$258="Other",'2014-2017 Projects'!$AT$5:$AT$258,0))</f>
        <v>0</v>
      </c>
      <c r="O115" s="413">
        <f t="array" ref="O115">SUM(IF('2014-2017 Projects'!$I$5:$I$258="Other",'2014-2017 Projects'!$AV$5:$AV$258,0))</f>
        <v>0</v>
      </c>
      <c r="P115" s="413">
        <f t="array" ref="P115">SUM(IF('2014-2017 Projects'!$I$5:$I$258="Other",'2014-2017 Projects'!$AW$5:$AW$258,0))</f>
        <v>0</v>
      </c>
      <c r="Q115" s="413">
        <f t="array" ref="Q115">SUM(IF('2014-2017 Projects'!$I$5:$I$258="Other",'2014-2017 Projects'!$AY$5:$AY$258,0))</f>
        <v>0</v>
      </c>
      <c r="R115" s="413"/>
      <c r="S115" s="413"/>
      <c r="T115" s="413"/>
      <c r="U115" s="413"/>
      <c r="V115" s="413"/>
      <c r="W115" s="413"/>
      <c r="X115" s="413"/>
      <c r="Y115" s="413"/>
      <c r="Z115" s="413"/>
      <c r="AA115" s="413"/>
      <c r="AB115" s="413"/>
      <c r="AC115" s="413"/>
      <c r="AD115" s="413"/>
      <c r="AE115" s="413"/>
      <c r="AF115" s="413"/>
      <c r="AG115" s="413"/>
      <c r="AH115" s="413">
        <f t="array" ref="AH115">SUM(IF('2014-2017 Projects'!$I$5:$I$258="Other",'2014-2017 Projects'!$BY$5:$BY$258,0))</f>
        <v>0</v>
      </c>
      <c r="AI115" s="413">
        <f t="array" ref="AI115">SUM(IF('2014-2017 Projects'!$I$5:$I$258="Other",'2014-2017 Projects'!$BZ$5:$BZ$258,0))</f>
        <v>0</v>
      </c>
      <c r="AJ115" s="413">
        <f t="array" ref="AJ115">SUM(IF('2014-2017 Projects'!$I$5:$I$258="Other",'2014-2017 Projects'!$BX$5:$BX$258,0))</f>
        <v>133843.34</v>
      </c>
      <c r="AK115" s="413">
        <f>I115-AH115</f>
        <v>500000</v>
      </c>
      <c r="AL115" s="413">
        <f t="shared" si="59"/>
        <v>500000</v>
      </c>
      <c r="AM115" s="418">
        <f t="shared" si="53"/>
        <v>0</v>
      </c>
      <c r="AN115" s="418">
        <f t="shared" si="54"/>
        <v>0</v>
      </c>
      <c r="AO115" s="417">
        <f t="array" ref="AO115">SUM(IF('2014-2017 Projects'!$I$5:$I$258="Other",'2014-2017 Projects'!$CG$5:$CG$258,0))</f>
        <v>500000</v>
      </c>
      <c r="AP115" s="417">
        <f t="array" ref="AP115">SUM(IF('2014-2017 Projects'!$I$5:$I$258="Other",'2014-2017 Projects'!$CH$5:$CH$258,0))</f>
        <v>500000</v>
      </c>
      <c r="AQ115" s="140"/>
      <c r="AS115" s="415"/>
      <c r="AT115" s="415"/>
      <c r="AU115" s="416"/>
      <c r="AV115" s="416"/>
      <c r="AW115" s="416"/>
    </row>
    <row r="116" spans="1:50" s="414" customFormat="1" ht="13.5" x14ac:dyDescent="0.25">
      <c r="A116" s="181" t="s">
        <v>331</v>
      </c>
      <c r="B116" s="182" t="e">
        <f>B96+B100+B106+B110+B115</f>
        <v>#REF!</v>
      </c>
      <c r="C116" s="182" t="e">
        <f>C96+C100+C106+C110+C115</f>
        <v>#REF!</v>
      </c>
      <c r="D116" s="182" t="e">
        <f>D96+D100+D106+D110+D115</f>
        <v>#REF!</v>
      </c>
      <c r="E116" s="182" t="e">
        <f>E96+E100+E106+E110+E115</f>
        <v>#REF!</v>
      </c>
      <c r="F116" s="182" t="e">
        <f>F96+F100+F106+F110+F115</f>
        <v>#REF!</v>
      </c>
      <c r="G116" s="182"/>
      <c r="H116" s="413">
        <f>H96+H100+H106+H110+H115</f>
        <v>942007423</v>
      </c>
      <c r="I116" s="413">
        <f>I96+I100+I106+I110+I115</f>
        <v>1056484706</v>
      </c>
      <c r="J116" s="413">
        <f t="shared" ref="J116:AJ116" si="65">J96+J100+J106+J110+J115</f>
        <v>4279296.1500000004</v>
      </c>
      <c r="K116" s="413">
        <f t="shared" si="65"/>
        <v>4585291.8000000007</v>
      </c>
      <c r="L116" s="413">
        <f t="shared" si="65"/>
        <v>36998451.879999995</v>
      </c>
      <c r="M116" s="413">
        <f t="shared" si="65"/>
        <v>40732237.589999996</v>
      </c>
      <c r="N116" s="413">
        <f t="shared" si="65"/>
        <v>63771348.909999996</v>
      </c>
      <c r="O116" s="413">
        <f t="shared" si="65"/>
        <v>69010776.280000001</v>
      </c>
      <c r="P116" s="413">
        <f t="shared" ref="P116:Q116" si="66">P96+P100+P106+P110+P115</f>
        <v>82385306.629999995</v>
      </c>
      <c r="Q116" s="413">
        <f t="shared" si="66"/>
        <v>89033634.960000008</v>
      </c>
      <c r="R116" s="413">
        <f t="shared" si="65"/>
        <v>0</v>
      </c>
      <c r="S116" s="413">
        <f t="shared" si="65"/>
        <v>0</v>
      </c>
      <c r="T116" s="413">
        <f t="shared" si="65"/>
        <v>0</v>
      </c>
      <c r="U116" s="413">
        <f t="shared" si="65"/>
        <v>0</v>
      </c>
      <c r="V116" s="413">
        <f t="shared" si="65"/>
        <v>0</v>
      </c>
      <c r="W116" s="413">
        <f t="shared" si="65"/>
        <v>0</v>
      </c>
      <c r="X116" s="413">
        <f t="shared" si="65"/>
        <v>0</v>
      </c>
      <c r="Y116" s="413">
        <f t="shared" si="65"/>
        <v>0</v>
      </c>
      <c r="Z116" s="413">
        <f t="shared" si="65"/>
        <v>0</v>
      </c>
      <c r="AA116" s="413">
        <f t="shared" si="65"/>
        <v>0</v>
      </c>
      <c r="AB116" s="413">
        <f t="shared" si="65"/>
        <v>0</v>
      </c>
      <c r="AC116" s="413">
        <f t="shared" si="65"/>
        <v>0</v>
      </c>
      <c r="AD116" s="413">
        <f t="shared" si="65"/>
        <v>0</v>
      </c>
      <c r="AE116" s="413">
        <f t="shared" si="65"/>
        <v>0</v>
      </c>
      <c r="AF116" s="413">
        <f t="shared" si="65"/>
        <v>0</v>
      </c>
      <c r="AG116" s="413">
        <f t="shared" si="65"/>
        <v>0</v>
      </c>
      <c r="AH116" s="413">
        <f t="shared" si="65"/>
        <v>187434403.56999999</v>
      </c>
      <c r="AI116" s="413">
        <f t="shared" si="65"/>
        <v>203361940.63</v>
      </c>
      <c r="AJ116" s="413">
        <f t="shared" si="65"/>
        <v>87463038.99000001</v>
      </c>
      <c r="AK116" s="413">
        <f>AK115+AK110+AK106+AK100+AK96</f>
        <v>869050302.42999995</v>
      </c>
      <c r="AL116" s="413">
        <f>AL115+AL110+AL106+AL100+AL96</f>
        <v>853122765.36999989</v>
      </c>
      <c r="AM116" s="419">
        <f>AH116/H116</f>
        <v>0.19897338279254725</v>
      </c>
      <c r="AN116" s="419">
        <f>AI116/H116</f>
        <v>0.21588146299564775</v>
      </c>
      <c r="AO116" s="182">
        <f>AO96+AO100+AO106+AO110+AO115</f>
        <v>1382127261</v>
      </c>
      <c r="AP116" s="182">
        <f>AP96+AP100+AP106+AP110+AP115</f>
        <v>1385226151</v>
      </c>
      <c r="AQ116" s="140"/>
      <c r="AS116" s="415"/>
      <c r="AT116" s="415"/>
      <c r="AU116" s="416"/>
      <c r="AV116" s="416"/>
      <c r="AW116" s="416"/>
    </row>
    <row r="117" spans="1:50" s="132" customFormat="1" x14ac:dyDescent="0.2">
      <c r="A117" s="155"/>
      <c r="B117" s="156"/>
      <c r="C117" s="156"/>
      <c r="D117" s="156"/>
      <c r="E117" s="156"/>
      <c r="F117" s="277"/>
      <c r="G117" s="156"/>
      <c r="H117" s="156"/>
      <c r="I117" s="156"/>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393"/>
      <c r="AN117" s="393"/>
      <c r="AO117" s="156"/>
      <c r="AP117" s="156"/>
      <c r="AQ117" s="156"/>
      <c r="AR117" s="156"/>
      <c r="AS117" s="156"/>
      <c r="AT117" s="307"/>
      <c r="AU117" s="323"/>
      <c r="AV117" s="323"/>
      <c r="AW117" s="323"/>
      <c r="AX117" s="154"/>
    </row>
    <row r="118" spans="1:50" s="132" customFormat="1" x14ac:dyDescent="0.2">
      <c r="A118" s="155"/>
      <c r="B118" s="156"/>
      <c r="C118" s="156"/>
      <c r="D118" s="156"/>
      <c r="E118" s="156"/>
      <c r="F118" s="277"/>
      <c r="G118" s="156"/>
      <c r="H118" s="156">
        <v>942007423</v>
      </c>
      <c r="I118" s="156">
        <f>'2014-2017 Projects'!AM252</f>
        <v>1056484706</v>
      </c>
      <c r="J118" s="156"/>
      <c r="K118" s="156"/>
      <c r="L118" s="156"/>
      <c r="M118" s="156"/>
      <c r="N118" s="156"/>
      <c r="O118" s="156"/>
      <c r="P118" s="156"/>
      <c r="Q118" s="156"/>
      <c r="R118" s="156"/>
      <c r="S118" s="156"/>
      <c r="T118" s="156"/>
      <c r="U118" s="156"/>
      <c r="V118" s="156"/>
      <c r="W118" s="156"/>
      <c r="X118" s="156"/>
      <c r="Y118" s="156"/>
      <c r="Z118" s="156"/>
      <c r="AA118" s="156"/>
      <c r="AB118" s="156"/>
      <c r="AC118" s="156"/>
      <c r="AD118" s="156"/>
      <c r="AE118" s="156"/>
      <c r="AF118" s="156"/>
      <c r="AG118" s="156"/>
      <c r="AH118" s="156"/>
      <c r="AI118" s="156"/>
      <c r="AJ118" s="156"/>
      <c r="AK118" s="156"/>
      <c r="AL118" s="156"/>
      <c r="AM118" s="393"/>
      <c r="AN118" s="393"/>
      <c r="AO118" s="156"/>
      <c r="AP118" s="156"/>
      <c r="AQ118" s="156"/>
      <c r="AR118" s="156"/>
      <c r="AS118" s="156"/>
      <c r="AT118" s="307"/>
      <c r="AU118" s="323"/>
      <c r="AV118" s="323"/>
      <c r="AW118" s="323"/>
      <c r="AX118" s="154"/>
    </row>
    <row r="119" spans="1:50" s="132" customFormat="1" x14ac:dyDescent="0.2">
      <c r="A119" s="155"/>
      <c r="B119" s="156"/>
      <c r="C119" s="156"/>
      <c r="D119" s="156"/>
      <c r="E119" s="156"/>
      <c r="F119" s="277"/>
      <c r="G119" s="156"/>
      <c r="H119" s="156"/>
      <c r="I119" s="156"/>
      <c r="J119" s="156"/>
      <c r="K119" s="156"/>
      <c r="L119" s="156"/>
      <c r="M119" s="156"/>
      <c r="N119" s="156"/>
      <c r="O119" s="156"/>
      <c r="P119" s="156"/>
      <c r="Q119" s="156"/>
      <c r="R119" s="156"/>
      <c r="S119" s="156"/>
      <c r="T119" s="156"/>
      <c r="U119" s="156"/>
      <c r="V119" s="156"/>
      <c r="W119" s="156"/>
      <c r="X119" s="156"/>
      <c r="Y119" s="156"/>
      <c r="Z119" s="156"/>
      <c r="AA119" s="156"/>
      <c r="AB119" s="156"/>
      <c r="AC119" s="156"/>
      <c r="AD119" s="156"/>
      <c r="AE119" s="156"/>
      <c r="AF119" s="156"/>
      <c r="AG119" s="156"/>
      <c r="AH119" s="156"/>
      <c r="AI119" s="156"/>
      <c r="AJ119" s="156"/>
      <c r="AK119" s="156"/>
      <c r="AL119" s="156"/>
      <c r="AM119" s="393"/>
      <c r="AN119" s="393"/>
      <c r="AO119" s="156"/>
      <c r="AP119" s="156"/>
      <c r="AQ119" s="156"/>
      <c r="AR119" s="156"/>
      <c r="AS119" s="156"/>
      <c r="AT119" s="307"/>
      <c r="AU119" s="323"/>
      <c r="AV119" s="323"/>
      <c r="AW119" s="323"/>
      <c r="AX119" s="154"/>
    </row>
    <row r="120" spans="1:50" s="132" customFormat="1" x14ac:dyDescent="0.2">
      <c r="A120" s="155"/>
      <c r="B120" s="156"/>
      <c r="C120" s="156"/>
      <c r="D120" s="156"/>
      <c r="E120" s="156"/>
      <c r="F120" s="277"/>
      <c r="G120" s="156"/>
      <c r="H120" s="322">
        <f>H118-H116</f>
        <v>0</v>
      </c>
      <c r="I120" s="322">
        <f>I118-I116</f>
        <v>0</v>
      </c>
      <c r="J120" s="156"/>
      <c r="K120" s="156"/>
      <c r="L120" s="156"/>
      <c r="M120" s="156"/>
      <c r="N120" s="156"/>
      <c r="O120" s="156"/>
      <c r="P120" s="156"/>
      <c r="Q120" s="156"/>
      <c r="R120" s="156"/>
      <c r="S120" s="156"/>
      <c r="T120" s="156"/>
      <c r="U120" s="156"/>
      <c r="V120" s="156"/>
      <c r="W120" s="156"/>
      <c r="X120" s="156"/>
      <c r="Y120" s="156"/>
      <c r="Z120" s="156"/>
      <c r="AA120" s="156"/>
      <c r="AB120" s="156"/>
      <c r="AC120" s="156"/>
      <c r="AD120" s="156"/>
      <c r="AE120" s="156"/>
      <c r="AF120" s="156"/>
      <c r="AG120" s="156"/>
      <c r="AH120" s="156"/>
      <c r="AI120" s="156"/>
      <c r="AJ120" s="156"/>
      <c r="AK120" s="156"/>
      <c r="AL120" s="156"/>
      <c r="AM120" s="393"/>
      <c r="AN120" s="393"/>
      <c r="AO120" s="156"/>
      <c r="AP120" s="156"/>
      <c r="AQ120" s="156"/>
      <c r="AR120" s="156"/>
      <c r="AS120" s="156"/>
      <c r="AT120" s="307"/>
      <c r="AU120" s="323"/>
      <c r="AV120" s="323"/>
      <c r="AW120" s="323"/>
      <c r="AX120" s="154"/>
    </row>
    <row r="121" spans="1:50" s="132" customFormat="1" x14ac:dyDescent="0.2">
      <c r="A121" s="155"/>
      <c r="B121" s="156"/>
      <c r="C121" s="156"/>
      <c r="D121" s="156"/>
      <c r="E121" s="156"/>
      <c r="F121" s="277"/>
      <c r="G121" s="156"/>
      <c r="H121" s="156"/>
      <c r="I121" s="156"/>
      <c r="J121" s="156"/>
      <c r="K121" s="156"/>
      <c r="L121" s="156"/>
      <c r="M121" s="156"/>
      <c r="N121" s="156"/>
      <c r="O121" s="156"/>
      <c r="P121" s="156"/>
      <c r="Q121" s="156"/>
      <c r="R121" s="156"/>
      <c r="S121" s="156"/>
      <c r="T121" s="156"/>
      <c r="U121" s="156"/>
      <c r="V121" s="156"/>
      <c r="W121" s="156"/>
      <c r="X121" s="156"/>
      <c r="Y121" s="156"/>
      <c r="Z121" s="156"/>
      <c r="AA121" s="156"/>
      <c r="AB121" s="156"/>
      <c r="AC121" s="156"/>
      <c r="AD121" s="156"/>
      <c r="AE121" s="156"/>
      <c r="AF121" s="156"/>
      <c r="AG121" s="156"/>
      <c r="AH121" s="156"/>
      <c r="AI121" s="156"/>
      <c r="AJ121" s="156"/>
      <c r="AK121" s="156"/>
      <c r="AL121" s="156"/>
      <c r="AM121" s="393"/>
      <c r="AN121" s="393"/>
      <c r="AO121" s="156"/>
      <c r="AP121" s="156"/>
      <c r="AQ121" s="156"/>
      <c r="AR121" s="156"/>
      <c r="AS121" s="156"/>
      <c r="AT121" s="307"/>
      <c r="AU121" s="323"/>
      <c r="AV121" s="323"/>
      <c r="AW121" s="323"/>
      <c r="AX121" s="154"/>
    </row>
    <row r="122" spans="1:50" s="132" customFormat="1" x14ac:dyDescent="0.2">
      <c r="A122" s="155"/>
      <c r="B122" s="156"/>
      <c r="C122" s="156"/>
      <c r="D122" s="156"/>
      <c r="E122" s="156"/>
      <c r="F122" s="277"/>
      <c r="G122" s="156"/>
      <c r="H122" s="156"/>
      <c r="I122" s="156"/>
      <c r="J122" s="156"/>
      <c r="K122" s="156"/>
      <c r="L122" s="156"/>
      <c r="M122" s="156"/>
      <c r="N122" s="156"/>
      <c r="O122" s="156"/>
      <c r="P122" s="156"/>
      <c r="Q122" s="156"/>
      <c r="R122" s="156"/>
      <c r="S122" s="156"/>
      <c r="T122" s="156"/>
      <c r="U122" s="156"/>
      <c r="V122" s="156"/>
      <c r="W122" s="156"/>
      <c r="X122" s="156"/>
      <c r="Y122" s="156"/>
      <c r="Z122" s="156"/>
      <c r="AA122" s="156"/>
      <c r="AB122" s="156"/>
      <c r="AC122" s="156"/>
      <c r="AD122" s="156"/>
      <c r="AE122" s="156"/>
      <c r="AF122" s="156"/>
      <c r="AG122" s="156"/>
      <c r="AH122" s="156"/>
      <c r="AI122" s="156"/>
      <c r="AJ122" s="156"/>
      <c r="AK122" s="156"/>
      <c r="AL122" s="156"/>
      <c r="AM122" s="393"/>
      <c r="AN122" s="393"/>
      <c r="AO122" s="156"/>
      <c r="AP122" s="156"/>
      <c r="AQ122" s="156"/>
      <c r="AR122" s="156"/>
      <c r="AS122" s="156"/>
      <c r="AT122" s="307"/>
      <c r="AU122" s="323"/>
      <c r="AV122" s="323"/>
      <c r="AW122" s="323"/>
      <c r="AX122" s="154"/>
    </row>
    <row r="123" spans="1:50" s="132" customFormat="1" x14ac:dyDescent="0.2">
      <c r="A123" s="155"/>
      <c r="B123" s="156"/>
      <c r="C123" s="156"/>
      <c r="D123" s="156"/>
      <c r="E123" s="156"/>
      <c r="F123" s="277"/>
      <c r="G123" s="156"/>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6"/>
      <c r="AI123" s="156"/>
      <c r="AJ123" s="156"/>
      <c r="AK123" s="156"/>
      <c r="AL123" s="156"/>
      <c r="AM123" s="393"/>
      <c r="AN123" s="393"/>
      <c r="AO123" s="156"/>
      <c r="AP123" s="156"/>
      <c r="AQ123" s="156"/>
      <c r="AR123" s="156"/>
      <c r="AS123" s="156"/>
      <c r="AT123" s="307"/>
      <c r="AU123" s="323"/>
      <c r="AV123" s="323"/>
      <c r="AW123" s="323"/>
      <c r="AX123" s="154"/>
    </row>
    <row r="124" spans="1:50" s="132" customFormat="1" x14ac:dyDescent="0.2">
      <c r="A124" s="155"/>
      <c r="B124" s="156"/>
      <c r="C124" s="156"/>
      <c r="D124" s="156"/>
      <c r="E124" s="156"/>
      <c r="F124" s="277"/>
      <c r="G124" s="156"/>
      <c r="H124" s="156"/>
      <c r="I124" s="156"/>
      <c r="J124" s="156"/>
      <c r="K124" s="156"/>
      <c r="L124" s="156"/>
      <c r="M124" s="156"/>
      <c r="N124" s="156"/>
      <c r="O124" s="156"/>
      <c r="P124" s="156"/>
      <c r="Q124" s="156"/>
      <c r="R124" s="156"/>
      <c r="S124" s="156"/>
      <c r="T124" s="156"/>
      <c r="U124" s="156"/>
      <c r="V124" s="156"/>
      <c r="W124" s="156"/>
      <c r="X124" s="156"/>
      <c r="Y124" s="156"/>
      <c r="Z124" s="156"/>
      <c r="AA124" s="156"/>
      <c r="AB124" s="156"/>
      <c r="AC124" s="156"/>
      <c r="AD124" s="156"/>
      <c r="AE124" s="156"/>
      <c r="AF124" s="156"/>
      <c r="AG124" s="156"/>
      <c r="AH124" s="156"/>
      <c r="AI124" s="156"/>
      <c r="AJ124" s="156"/>
      <c r="AK124" s="156"/>
      <c r="AL124" s="156"/>
      <c r="AM124" s="393"/>
      <c r="AN124" s="393"/>
      <c r="AO124" s="156"/>
      <c r="AP124" s="156"/>
      <c r="AQ124" s="156"/>
      <c r="AR124" s="156"/>
      <c r="AS124" s="156"/>
      <c r="AT124" s="307"/>
      <c r="AU124" s="323"/>
      <c r="AV124" s="323"/>
      <c r="AW124" s="323"/>
      <c r="AX124" s="154"/>
    </row>
    <row r="125" spans="1:50" s="132" customFormat="1" x14ac:dyDescent="0.2">
      <c r="A125" s="155"/>
      <c r="B125" s="156"/>
      <c r="C125" s="156"/>
      <c r="D125" s="156"/>
      <c r="E125" s="156"/>
      <c r="F125" s="277"/>
      <c r="G125" s="156"/>
      <c r="H125" s="156"/>
      <c r="I125" s="156"/>
      <c r="J125" s="156"/>
      <c r="K125" s="156"/>
      <c r="L125" s="156"/>
      <c r="M125" s="156"/>
      <c r="N125" s="156"/>
      <c r="O125" s="156"/>
      <c r="P125" s="156"/>
      <c r="Q125" s="156"/>
      <c r="R125" s="156"/>
      <c r="S125" s="156"/>
      <c r="T125" s="156"/>
      <c r="U125" s="156"/>
      <c r="V125" s="156"/>
      <c r="W125" s="156"/>
      <c r="X125" s="156"/>
      <c r="Y125" s="156"/>
      <c r="Z125" s="156"/>
      <c r="AA125" s="156"/>
      <c r="AB125" s="156"/>
      <c r="AC125" s="156"/>
      <c r="AD125" s="156"/>
      <c r="AE125" s="156"/>
      <c r="AF125" s="156"/>
      <c r="AG125" s="156"/>
      <c r="AH125" s="156"/>
      <c r="AI125" s="156"/>
      <c r="AJ125" s="156"/>
      <c r="AK125" s="156"/>
      <c r="AL125" s="156"/>
      <c r="AM125" s="393"/>
      <c r="AN125" s="393"/>
      <c r="AO125" s="156"/>
      <c r="AP125" s="156"/>
      <c r="AQ125" s="156"/>
      <c r="AR125" s="156"/>
      <c r="AS125" s="156"/>
      <c r="AT125" s="307"/>
      <c r="AU125" s="323"/>
      <c r="AV125" s="323"/>
      <c r="AW125" s="323"/>
      <c r="AX125" s="154"/>
    </row>
    <row r="126" spans="1:50" s="132" customFormat="1" x14ac:dyDescent="0.2">
      <c r="A126" s="155"/>
      <c r="B126" s="156"/>
      <c r="C126" s="156"/>
      <c r="D126" s="156"/>
      <c r="E126" s="156"/>
      <c r="F126" s="277"/>
      <c r="G126" s="156"/>
      <c r="H126" s="156"/>
      <c r="I126" s="156"/>
      <c r="J126" s="156"/>
      <c r="K126" s="156"/>
      <c r="L126" s="156"/>
      <c r="M126" s="156"/>
      <c r="N126" s="156"/>
      <c r="O126" s="156"/>
      <c r="P126" s="156"/>
      <c r="Q126" s="156"/>
      <c r="R126" s="156"/>
      <c r="S126" s="156"/>
      <c r="T126" s="156"/>
      <c r="U126" s="156"/>
      <c r="V126" s="156"/>
      <c r="W126" s="156"/>
      <c r="X126" s="156"/>
      <c r="Y126" s="156"/>
      <c r="Z126" s="156"/>
      <c r="AA126" s="156"/>
      <c r="AB126" s="156"/>
      <c r="AC126" s="156"/>
      <c r="AD126" s="156"/>
      <c r="AE126" s="156"/>
      <c r="AF126" s="156"/>
      <c r="AG126" s="156"/>
      <c r="AH126" s="156"/>
      <c r="AI126" s="156"/>
      <c r="AJ126" s="156"/>
      <c r="AK126" s="156"/>
      <c r="AL126" s="156"/>
      <c r="AM126" s="393"/>
      <c r="AN126" s="393"/>
      <c r="AO126" s="156"/>
      <c r="AP126" s="156"/>
      <c r="AQ126" s="156"/>
      <c r="AR126" s="156"/>
      <c r="AS126" s="156"/>
      <c r="AT126" s="307"/>
      <c r="AU126" s="323"/>
      <c r="AV126" s="323"/>
      <c r="AW126" s="323"/>
      <c r="AX126" s="154"/>
    </row>
    <row r="127" spans="1:50" s="132" customFormat="1" x14ac:dyDescent="0.2">
      <c r="A127" s="155"/>
      <c r="B127" s="156"/>
      <c r="C127" s="156"/>
      <c r="D127" s="156"/>
      <c r="E127" s="156"/>
      <c r="F127" s="277"/>
      <c r="G127" s="156"/>
      <c r="H127" s="156"/>
      <c r="I127" s="156"/>
      <c r="J127" s="156"/>
      <c r="K127" s="156"/>
      <c r="L127" s="156"/>
      <c r="M127" s="156"/>
      <c r="N127" s="156"/>
      <c r="O127" s="156"/>
      <c r="P127" s="156"/>
      <c r="Q127" s="156"/>
      <c r="R127" s="156"/>
      <c r="S127" s="156"/>
      <c r="T127" s="156"/>
      <c r="U127" s="156"/>
      <c r="V127" s="156"/>
      <c r="W127" s="156"/>
      <c r="X127" s="156"/>
      <c r="Y127" s="156"/>
      <c r="Z127" s="156"/>
      <c r="AA127" s="156"/>
      <c r="AB127" s="156"/>
      <c r="AC127" s="156"/>
      <c r="AD127" s="156"/>
      <c r="AE127" s="156"/>
      <c r="AF127" s="156"/>
      <c r="AG127" s="156"/>
      <c r="AH127" s="156"/>
      <c r="AI127" s="156"/>
      <c r="AJ127" s="156"/>
      <c r="AK127" s="156"/>
      <c r="AL127" s="156"/>
      <c r="AM127" s="393"/>
      <c r="AN127" s="393"/>
      <c r="AO127" s="156"/>
      <c r="AP127" s="156"/>
      <c r="AQ127" s="156"/>
      <c r="AR127" s="156"/>
      <c r="AS127" s="156"/>
      <c r="AT127" s="307"/>
      <c r="AU127" s="323"/>
      <c r="AV127" s="323"/>
      <c r="AW127" s="323"/>
      <c r="AX127" s="154"/>
    </row>
    <row r="128" spans="1:50" s="132" customFormat="1" x14ac:dyDescent="0.2">
      <c r="A128" s="155"/>
      <c r="B128" s="156"/>
      <c r="C128" s="156"/>
      <c r="D128" s="156"/>
      <c r="E128" s="156"/>
      <c r="F128" s="277"/>
      <c r="G128" s="156"/>
      <c r="H128" s="156"/>
      <c r="I128" s="156"/>
      <c r="J128" s="156"/>
      <c r="K128" s="156"/>
      <c r="L128" s="156"/>
      <c r="M128" s="156"/>
      <c r="N128" s="156"/>
      <c r="O128" s="156"/>
      <c r="P128" s="156"/>
      <c r="Q128" s="156"/>
      <c r="R128" s="156"/>
      <c r="S128" s="156"/>
      <c r="T128" s="156"/>
      <c r="U128" s="156"/>
      <c r="V128" s="156"/>
      <c r="W128" s="156"/>
      <c r="X128" s="156"/>
      <c r="Y128" s="156"/>
      <c r="Z128" s="156"/>
      <c r="AA128" s="156"/>
      <c r="AB128" s="156"/>
      <c r="AC128" s="156"/>
      <c r="AD128" s="156"/>
      <c r="AE128" s="156"/>
      <c r="AF128" s="156"/>
      <c r="AG128" s="156"/>
      <c r="AH128" s="156"/>
      <c r="AI128" s="156"/>
      <c r="AJ128" s="156"/>
      <c r="AK128" s="156"/>
      <c r="AL128" s="156"/>
      <c r="AM128" s="393"/>
      <c r="AN128" s="393"/>
      <c r="AO128" s="156"/>
      <c r="AP128" s="156"/>
      <c r="AQ128" s="156"/>
      <c r="AR128" s="156"/>
      <c r="AS128" s="156"/>
      <c r="AT128" s="307"/>
      <c r="AU128" s="323"/>
      <c r="AV128" s="323"/>
      <c r="AW128" s="323"/>
      <c r="AX128" s="154"/>
    </row>
    <row r="129" spans="1:50" s="132" customFormat="1" x14ac:dyDescent="0.2">
      <c r="A129" s="155"/>
      <c r="B129" s="156"/>
      <c r="C129" s="156"/>
      <c r="D129" s="156"/>
      <c r="E129" s="156"/>
      <c r="F129" s="277"/>
      <c r="G129" s="156"/>
      <c r="H129" s="156"/>
      <c r="I129" s="156"/>
      <c r="J129" s="156"/>
      <c r="K129" s="156"/>
      <c r="L129" s="156"/>
      <c r="M129" s="156"/>
      <c r="N129" s="156"/>
      <c r="O129" s="156"/>
      <c r="P129" s="156"/>
      <c r="Q129" s="156"/>
      <c r="R129" s="156"/>
      <c r="S129" s="156"/>
      <c r="T129" s="156"/>
      <c r="U129" s="156"/>
      <c r="V129" s="156"/>
      <c r="W129" s="156"/>
      <c r="X129" s="156"/>
      <c r="Y129" s="156"/>
      <c r="Z129" s="156"/>
      <c r="AA129" s="156"/>
      <c r="AB129" s="156"/>
      <c r="AC129" s="156"/>
      <c r="AD129" s="156"/>
      <c r="AE129" s="156"/>
      <c r="AF129" s="156"/>
      <c r="AG129" s="156"/>
      <c r="AH129" s="156"/>
      <c r="AI129" s="156"/>
      <c r="AJ129" s="156"/>
      <c r="AK129" s="156"/>
      <c r="AL129" s="156"/>
      <c r="AM129" s="393"/>
      <c r="AN129" s="393"/>
      <c r="AO129" s="156"/>
      <c r="AP129" s="156"/>
      <c r="AQ129" s="156"/>
      <c r="AR129" s="156"/>
      <c r="AS129" s="156"/>
      <c r="AT129" s="307"/>
      <c r="AU129" s="323"/>
      <c r="AV129" s="323"/>
      <c r="AW129" s="323"/>
      <c r="AX129" s="154"/>
    </row>
    <row r="130" spans="1:50" s="132" customFormat="1" x14ac:dyDescent="0.2">
      <c r="A130" s="155"/>
      <c r="B130" s="156"/>
      <c r="C130" s="156"/>
      <c r="D130" s="156"/>
      <c r="E130" s="156"/>
      <c r="F130" s="277"/>
      <c r="G130" s="156"/>
      <c r="H130" s="156"/>
      <c r="I130" s="156"/>
      <c r="J130" s="156"/>
      <c r="K130" s="156"/>
      <c r="L130" s="156"/>
      <c r="M130" s="156"/>
      <c r="N130" s="156"/>
      <c r="O130" s="156"/>
      <c r="P130" s="156"/>
      <c r="Q130" s="156"/>
      <c r="R130" s="156"/>
      <c r="S130" s="156"/>
      <c r="T130" s="156"/>
      <c r="U130" s="156"/>
      <c r="V130" s="156"/>
      <c r="W130" s="156"/>
      <c r="X130" s="156"/>
      <c r="Y130" s="156"/>
      <c r="Z130" s="156"/>
      <c r="AA130" s="156"/>
      <c r="AB130" s="156"/>
      <c r="AC130" s="156"/>
      <c r="AD130" s="156"/>
      <c r="AE130" s="156"/>
      <c r="AF130" s="156"/>
      <c r="AG130" s="156"/>
      <c r="AH130" s="156"/>
      <c r="AI130" s="156"/>
      <c r="AJ130" s="156"/>
      <c r="AK130" s="156"/>
      <c r="AL130" s="156"/>
      <c r="AM130" s="393"/>
      <c r="AN130" s="393"/>
      <c r="AO130" s="156"/>
      <c r="AP130" s="156"/>
      <c r="AQ130" s="156"/>
      <c r="AR130" s="156"/>
      <c r="AS130" s="156"/>
      <c r="AT130" s="307"/>
      <c r="AU130" s="323"/>
      <c r="AV130" s="323"/>
      <c r="AW130" s="323"/>
      <c r="AX130" s="154"/>
    </row>
    <row r="131" spans="1:50" s="132" customFormat="1" x14ac:dyDescent="0.2">
      <c r="A131" s="155"/>
      <c r="B131" s="156"/>
      <c r="C131" s="156"/>
      <c r="D131" s="156"/>
      <c r="E131" s="156"/>
      <c r="F131" s="277"/>
      <c r="G131" s="156"/>
      <c r="H131" s="156"/>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c r="AG131" s="156"/>
      <c r="AH131" s="156"/>
      <c r="AI131" s="156"/>
      <c r="AJ131" s="156"/>
      <c r="AK131" s="156"/>
      <c r="AL131" s="156"/>
      <c r="AM131" s="156"/>
      <c r="AN131" s="156"/>
      <c r="AO131" s="156"/>
      <c r="AP131" s="156" t="s">
        <v>423</v>
      </c>
      <c r="AR131" s="322"/>
      <c r="AS131" s="307"/>
      <c r="AT131" s="307"/>
      <c r="AU131" s="323">
        <v>673289000</v>
      </c>
      <c r="AV131" s="323">
        <v>700458000</v>
      </c>
      <c r="AW131" s="323">
        <v>743775000</v>
      </c>
      <c r="AX131" s="154"/>
    </row>
    <row r="132" spans="1:50" s="132" customFormat="1" ht="13.5" thickBot="1" x14ac:dyDescent="0.25">
      <c r="A132" s="155"/>
      <c r="B132" s="156"/>
      <c r="C132" s="156"/>
      <c r="D132" s="156"/>
      <c r="E132" s="156"/>
      <c r="F132" s="277"/>
      <c r="G132" s="156"/>
      <c r="H132" s="156"/>
      <c r="I132" s="156"/>
      <c r="J132" s="156"/>
      <c r="K132" s="156"/>
      <c r="L132" s="156"/>
      <c r="M132" s="156"/>
      <c r="N132" s="156"/>
      <c r="O132" s="156"/>
      <c r="P132" s="156"/>
      <c r="Q132" s="156"/>
      <c r="R132" s="156"/>
      <c r="S132" s="156"/>
      <c r="T132" s="156"/>
      <c r="U132" s="156"/>
      <c r="V132" s="156"/>
      <c r="W132" s="156"/>
      <c r="X132" s="156"/>
      <c r="Y132" s="156"/>
      <c r="Z132" s="156"/>
      <c r="AA132" s="156"/>
      <c r="AB132" s="156"/>
      <c r="AC132" s="156"/>
      <c r="AD132" s="156"/>
      <c r="AE132" s="156"/>
      <c r="AF132" s="156"/>
      <c r="AG132" s="156"/>
      <c r="AH132" s="156"/>
      <c r="AI132" s="156"/>
      <c r="AJ132" s="156"/>
      <c r="AK132" s="156"/>
      <c r="AL132" s="156"/>
      <c r="AM132" s="156"/>
      <c r="AN132" s="156"/>
      <c r="AO132" s="156"/>
      <c r="AP132" s="322" t="s">
        <v>430</v>
      </c>
      <c r="AR132" s="322"/>
      <c r="AS132" s="307"/>
      <c r="AT132" s="307"/>
      <c r="AU132" s="324">
        <f>+AU131-AU21</f>
        <v>0</v>
      </c>
      <c r="AV132" s="324">
        <f>+AV131-AV21</f>
        <v>-360000000</v>
      </c>
      <c r="AW132" s="324">
        <f>+AW131-AW21</f>
        <v>-320000000</v>
      </c>
      <c r="AX132" s="325" t="s">
        <v>499</v>
      </c>
    </row>
    <row r="133" spans="1:50" s="144" customFormat="1" ht="13.5" thickTop="1" x14ac:dyDescent="0.2">
      <c r="A133" s="155"/>
      <c r="B133" s="156"/>
      <c r="C133" s="156"/>
      <c r="D133" s="156"/>
      <c r="E133" s="156"/>
      <c r="F133" s="277"/>
      <c r="G133" s="156"/>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c r="AO133" s="156"/>
      <c r="AP133" s="156"/>
      <c r="AR133" s="156"/>
      <c r="AS133" s="141"/>
      <c r="AT133" s="141"/>
      <c r="AU133" s="281"/>
      <c r="AV133" s="281"/>
      <c r="AW133" s="281"/>
      <c r="AX133" s="278"/>
    </row>
    <row r="134" spans="1:50" s="280" customFormat="1" ht="12" hidden="1" x14ac:dyDescent="0.2">
      <c r="A134" s="287"/>
      <c r="B134" s="244"/>
      <c r="C134" s="244"/>
      <c r="D134" s="244"/>
      <c r="E134" s="288">
        <v>189271546</v>
      </c>
      <c r="F134" s="288"/>
      <c r="G134" s="288">
        <f>+F15</f>
        <v>230735570</v>
      </c>
      <c r="H134" s="279">
        <v>667025500</v>
      </c>
      <c r="I134" s="279"/>
      <c r="J134" s="279"/>
      <c r="K134" s="279"/>
      <c r="L134" s="279"/>
      <c r="M134" s="279"/>
      <c r="N134" s="279"/>
      <c r="O134" s="279"/>
      <c r="P134" s="279"/>
      <c r="Q134" s="279"/>
      <c r="R134" s="279"/>
      <c r="S134" s="279"/>
      <c r="T134" s="279"/>
      <c r="U134" s="279"/>
      <c r="V134" s="279"/>
      <c r="W134" s="279"/>
      <c r="X134" s="279"/>
      <c r="Y134" s="279"/>
      <c r="Z134" s="279"/>
      <c r="AA134" s="279"/>
      <c r="AB134" s="279"/>
      <c r="AC134" s="279"/>
      <c r="AD134" s="279"/>
      <c r="AE134" s="279"/>
      <c r="AF134" s="279"/>
      <c r="AG134" s="279"/>
      <c r="AH134" s="279"/>
      <c r="AI134" s="279"/>
      <c r="AJ134" s="279"/>
      <c r="AK134" s="279"/>
      <c r="AL134" s="279"/>
      <c r="AM134" s="279"/>
      <c r="AN134" s="279"/>
      <c r="AO134" s="244">
        <v>690810100</v>
      </c>
      <c r="AP134" s="244"/>
      <c r="AR134" s="244"/>
      <c r="AU134" s="281"/>
      <c r="AV134" s="281"/>
      <c r="AW134" s="281"/>
      <c r="AX134" s="282"/>
    </row>
    <row r="135" spans="1:50" s="281" customFormat="1" ht="12" hidden="1" x14ac:dyDescent="0.2">
      <c r="A135" s="289"/>
      <c r="B135" s="286"/>
      <c r="C135" s="286"/>
      <c r="D135" s="286"/>
      <c r="E135" s="290"/>
      <c r="F135" s="290"/>
      <c r="G135" s="290">
        <v>21156250</v>
      </c>
      <c r="H135" s="281">
        <v>31264500</v>
      </c>
      <c r="AO135" s="286">
        <v>32147900</v>
      </c>
      <c r="AP135" s="286"/>
      <c r="AR135" s="286"/>
      <c r="AX135" s="284"/>
    </row>
    <row r="136" spans="1:50" s="281" customFormat="1" hidden="1" thickBot="1" x14ac:dyDescent="0.25">
      <c r="A136" s="283"/>
      <c r="B136" s="157"/>
      <c r="C136" s="157"/>
      <c r="D136" s="157"/>
      <c r="E136" s="285">
        <f>SUM(E134:E135)</f>
        <v>189271546</v>
      </c>
      <c r="F136" s="285">
        <f>SUM(F134:F135)</f>
        <v>0</v>
      </c>
      <c r="G136" s="285">
        <f>SUM(G134:G135)</f>
        <v>251891820</v>
      </c>
      <c r="H136" s="285">
        <f>SUM(H134:H135)</f>
        <v>698290000</v>
      </c>
      <c r="I136" s="285"/>
      <c r="J136" s="285"/>
      <c r="K136" s="285"/>
      <c r="L136" s="285"/>
      <c r="M136" s="285"/>
      <c r="N136" s="285"/>
      <c r="O136" s="285"/>
      <c r="P136" s="285"/>
      <c r="Q136" s="285"/>
      <c r="R136" s="285"/>
      <c r="S136" s="285"/>
      <c r="T136" s="285"/>
      <c r="U136" s="285"/>
      <c r="V136" s="285"/>
      <c r="W136" s="285"/>
      <c r="X136" s="285"/>
      <c r="Y136" s="285"/>
      <c r="Z136" s="285"/>
      <c r="AA136" s="285"/>
      <c r="AB136" s="285"/>
      <c r="AC136" s="285"/>
      <c r="AD136" s="285"/>
      <c r="AE136" s="285"/>
      <c r="AF136" s="285"/>
      <c r="AG136" s="285"/>
      <c r="AH136" s="285"/>
      <c r="AI136" s="285"/>
      <c r="AJ136" s="285"/>
      <c r="AK136" s="285"/>
      <c r="AL136" s="285"/>
      <c r="AM136" s="285"/>
      <c r="AN136" s="285"/>
      <c r="AO136" s="285">
        <f>SUM(AO134:AO135)</f>
        <v>722958000</v>
      </c>
      <c r="AP136" s="157"/>
      <c r="AR136" s="157"/>
      <c r="AX136" s="284"/>
    </row>
    <row r="137" spans="1:50" s="281" customFormat="1" ht="12" hidden="1" x14ac:dyDescent="0.2">
      <c r="A137" s="283"/>
      <c r="B137" s="157"/>
      <c r="C137" s="157"/>
      <c r="D137" s="157"/>
      <c r="E137" s="286">
        <v>176071546</v>
      </c>
      <c r="F137" s="286"/>
      <c r="G137" s="286">
        <v>613305000</v>
      </c>
      <c r="H137" s="281">
        <v>698290000</v>
      </c>
      <c r="AO137" s="286">
        <v>722958000</v>
      </c>
      <c r="AP137" s="157"/>
      <c r="AR137" s="157"/>
      <c r="AX137" s="284"/>
    </row>
    <row r="138" spans="1:50" s="281" customFormat="1" ht="12" hidden="1" x14ac:dyDescent="0.2">
      <c r="A138" s="283"/>
      <c r="B138" s="157"/>
      <c r="C138" s="157"/>
      <c r="D138" s="157"/>
      <c r="E138" s="286">
        <v>803061</v>
      </c>
      <c r="F138" s="286"/>
      <c r="G138" s="286">
        <f>+G137-G136</f>
        <v>361413180</v>
      </c>
      <c r="H138" s="297">
        <f>+H137-H136</f>
        <v>0</v>
      </c>
      <c r="I138" s="297"/>
      <c r="J138" s="297"/>
      <c r="K138" s="297"/>
      <c r="L138" s="297"/>
      <c r="M138" s="297"/>
      <c r="N138" s="297"/>
      <c r="O138" s="297"/>
      <c r="P138" s="297"/>
      <c r="Q138" s="297"/>
      <c r="R138" s="297"/>
      <c r="S138" s="297"/>
      <c r="T138" s="297"/>
      <c r="U138" s="297"/>
      <c r="V138" s="297"/>
      <c r="W138" s="297"/>
      <c r="X138" s="297"/>
      <c r="Y138" s="297"/>
      <c r="Z138" s="297"/>
      <c r="AA138" s="297"/>
      <c r="AB138" s="297"/>
      <c r="AC138" s="297"/>
      <c r="AD138" s="297"/>
      <c r="AE138" s="297"/>
      <c r="AF138" s="297"/>
      <c r="AG138" s="297"/>
      <c r="AH138" s="297"/>
      <c r="AI138" s="297"/>
      <c r="AJ138" s="297"/>
      <c r="AK138" s="297"/>
      <c r="AL138" s="297"/>
      <c r="AM138" s="297"/>
      <c r="AN138" s="297"/>
      <c r="AO138" s="296">
        <f>+AO137-AO136</f>
        <v>0</v>
      </c>
      <c r="AP138" s="157"/>
      <c r="AR138" s="157"/>
      <c r="AX138" s="284"/>
    </row>
    <row r="139" spans="1:50" s="281" customFormat="1" ht="12" hidden="1" x14ac:dyDescent="0.2">
      <c r="A139" s="283"/>
      <c r="B139" s="157"/>
      <c r="C139" s="157"/>
      <c r="D139" s="157"/>
      <c r="E139" s="286">
        <f>+E134-E137-E138</f>
        <v>12396939</v>
      </c>
      <c r="F139" s="286"/>
      <c r="G139" s="286"/>
      <c r="AO139" s="286"/>
      <c r="AP139" s="157"/>
      <c r="AR139" s="157"/>
      <c r="AX139" s="284"/>
    </row>
    <row r="140" spans="1:50" s="281" customFormat="1" ht="12" hidden="1" x14ac:dyDescent="0.2">
      <c r="A140" s="283"/>
      <c r="B140" s="157"/>
      <c r="C140" s="157"/>
      <c r="D140" s="157"/>
      <c r="E140" s="286"/>
      <c r="F140" s="286"/>
      <c r="G140" s="147"/>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58"/>
      <c r="AR140" s="158"/>
    </row>
    <row r="141" spans="1:50" s="132" customFormat="1" hidden="1" x14ac:dyDescent="0.2">
      <c r="A141" s="159"/>
      <c r="B141" s="160"/>
      <c r="C141" s="160"/>
      <c r="D141" s="161"/>
      <c r="E141" s="161"/>
      <c r="F141" s="161"/>
      <c r="G141" s="159"/>
      <c r="H141" s="159"/>
      <c r="I141" s="159"/>
      <c r="J141" s="159"/>
      <c r="K141" s="159"/>
      <c r="L141" s="159"/>
      <c r="M141" s="159"/>
      <c r="N141" s="159"/>
      <c r="O141" s="159"/>
      <c r="P141" s="159"/>
      <c r="Q141" s="159"/>
      <c r="R141" s="159"/>
      <c r="S141" s="159"/>
      <c r="T141" s="159"/>
      <c r="U141" s="159"/>
      <c r="V141" s="159"/>
      <c r="W141" s="159"/>
      <c r="X141" s="159"/>
      <c r="Y141" s="159"/>
      <c r="Z141" s="159"/>
      <c r="AA141" s="159"/>
      <c r="AB141" s="159"/>
      <c r="AC141" s="159"/>
      <c r="AD141" s="159"/>
      <c r="AE141" s="159"/>
      <c r="AF141" s="159"/>
      <c r="AG141" s="159"/>
      <c r="AH141" s="159"/>
      <c r="AI141" s="159"/>
      <c r="AJ141" s="159"/>
      <c r="AK141" s="159"/>
      <c r="AL141" s="159"/>
      <c r="AM141" s="159"/>
      <c r="AN141" s="159"/>
      <c r="AO141" s="159"/>
      <c r="AP141" s="159"/>
      <c r="AR141" s="159"/>
      <c r="AS141" s="141"/>
      <c r="AT141" s="141"/>
      <c r="AU141" s="281"/>
      <c r="AV141" s="281"/>
      <c r="AW141" s="281"/>
    </row>
    <row r="142" spans="1:50" s="132" customFormat="1" x14ac:dyDescent="0.2">
      <c r="A142" s="127" t="s">
        <v>455</v>
      </c>
      <c r="B142" s="166"/>
      <c r="C142" s="166"/>
      <c r="D142" s="167"/>
      <c r="E142" s="167"/>
      <c r="F142" s="167"/>
      <c r="G142" s="258"/>
      <c r="H142" s="258"/>
      <c r="I142" s="258"/>
      <c r="J142" s="258"/>
      <c r="K142" s="258"/>
      <c r="L142" s="258"/>
      <c r="M142" s="258"/>
      <c r="N142" s="258"/>
      <c r="O142" s="258"/>
      <c r="P142" s="258"/>
      <c r="Q142" s="258"/>
      <c r="R142" s="258"/>
      <c r="S142" s="258"/>
      <c r="T142" s="258"/>
      <c r="U142" s="258"/>
      <c r="V142" s="258"/>
      <c r="W142" s="258"/>
      <c r="X142" s="258"/>
      <c r="Y142" s="258"/>
      <c r="Z142" s="258"/>
      <c r="AA142" s="258"/>
      <c r="AB142" s="258"/>
      <c r="AC142" s="258"/>
      <c r="AD142" s="258"/>
      <c r="AE142" s="258"/>
      <c r="AF142" s="258"/>
      <c r="AG142" s="258"/>
      <c r="AH142" s="258"/>
      <c r="AI142" s="258"/>
      <c r="AJ142" s="258"/>
      <c r="AK142" s="258"/>
      <c r="AL142" s="258"/>
      <c r="AM142" s="258"/>
      <c r="AN142" s="258"/>
      <c r="AO142" s="258"/>
      <c r="AP142" s="258"/>
      <c r="AR142" s="162"/>
      <c r="AS142" s="141"/>
      <c r="AT142" s="141"/>
      <c r="AU142" s="281"/>
      <c r="AV142" s="281"/>
      <c r="AW142" s="281"/>
    </row>
    <row r="143" spans="1:50" s="132" customFormat="1" ht="72" x14ac:dyDescent="0.2">
      <c r="A143" s="163" t="s">
        <v>10</v>
      </c>
      <c r="B143" s="137" t="s">
        <v>298</v>
      </c>
      <c r="C143" s="137" t="s">
        <v>299</v>
      </c>
      <c r="D143" s="137" t="s">
        <v>300</v>
      </c>
      <c r="E143" s="137" t="s">
        <v>291</v>
      </c>
      <c r="F143" s="137" t="s">
        <v>292</v>
      </c>
      <c r="G143" s="139" t="s">
        <v>301</v>
      </c>
      <c r="H143" s="139" t="s">
        <v>615</v>
      </c>
      <c r="I143" s="139" t="s">
        <v>695</v>
      </c>
      <c r="J143" s="389" t="s">
        <v>589</v>
      </c>
      <c r="K143" s="389" t="s">
        <v>590</v>
      </c>
      <c r="L143" s="389" t="s">
        <v>591</v>
      </c>
      <c r="M143" s="389" t="s">
        <v>592</v>
      </c>
      <c r="N143" s="389" t="s">
        <v>593</v>
      </c>
      <c r="O143" s="389" t="s">
        <v>594</v>
      </c>
      <c r="P143" s="389" t="s">
        <v>595</v>
      </c>
      <c r="Q143" s="389" t="s">
        <v>596</v>
      </c>
      <c r="R143" s="389" t="s">
        <v>597</v>
      </c>
      <c r="S143" s="389" t="s">
        <v>598</v>
      </c>
      <c r="T143" s="389" t="s">
        <v>599</v>
      </c>
      <c r="U143" s="389" t="s">
        <v>600</v>
      </c>
      <c r="V143" s="389" t="s">
        <v>602</v>
      </c>
      <c r="W143" s="389" t="s">
        <v>603</v>
      </c>
      <c r="X143" s="389" t="s">
        <v>604</v>
      </c>
      <c r="Y143" s="389" t="s">
        <v>605</v>
      </c>
      <c r="Z143" s="389" t="s">
        <v>606</v>
      </c>
      <c r="AA143" s="389" t="s">
        <v>607</v>
      </c>
      <c r="AB143" s="389" t="s">
        <v>609</v>
      </c>
      <c r="AC143" s="389" t="s">
        <v>608</v>
      </c>
      <c r="AD143" s="389" t="s">
        <v>610</v>
      </c>
      <c r="AE143" s="389" t="s">
        <v>611</v>
      </c>
      <c r="AF143" s="389" t="s">
        <v>612</v>
      </c>
      <c r="AG143" s="389" t="s">
        <v>613</v>
      </c>
      <c r="AH143" s="389" t="s">
        <v>203</v>
      </c>
      <c r="AI143" s="389" t="s">
        <v>617</v>
      </c>
      <c r="AJ143" s="389" t="s">
        <v>220</v>
      </c>
      <c r="AK143" s="389" t="s">
        <v>618</v>
      </c>
      <c r="AL143" s="389" t="s">
        <v>619</v>
      </c>
      <c r="AM143" s="389" t="s">
        <v>620</v>
      </c>
      <c r="AN143" s="389" t="s">
        <v>621</v>
      </c>
      <c r="AO143" s="138" t="s">
        <v>302</v>
      </c>
      <c r="AP143" s="138" t="s">
        <v>411</v>
      </c>
      <c r="AR143" s="138" t="s">
        <v>411</v>
      </c>
      <c r="AS143" s="141"/>
      <c r="AT143" s="141"/>
      <c r="AU143" s="281"/>
      <c r="AV143" s="281"/>
      <c r="AW143" s="281"/>
    </row>
    <row r="144" spans="1:50" s="132" customFormat="1" x14ac:dyDescent="0.2">
      <c r="A144" s="142" t="s">
        <v>314</v>
      </c>
      <c r="B144" s="143">
        <f t="array" ref="B144">SUM(IF('2014-2017 Projects'!$A$6:$A$298="Executive Support Services",'2014-2017 Projects'!$AG$6:$AG$298,0))</f>
        <v>0</v>
      </c>
      <c r="C144" s="143">
        <f t="array" ref="C144">SUM(IF('2014-2017 Projects'!$A$6:$A$298="Executive Support Services",'2014-2017 Projects'!$AG$6:$AG$298,0))</f>
        <v>0</v>
      </c>
      <c r="D144" s="143">
        <f t="array" ref="D144">SUM(IF('2014-2017 Projects'!$A$6:$A$298="Executive Support Services",'2014-2017 Projects'!$AG$6:$AG$298,0))</f>
        <v>0</v>
      </c>
      <c r="E144" s="143">
        <f t="array" ref="E144">SUM(IF('2014-2017 Projects'!$A$6:$A$298="Executive Support Services",'2014-2017 Projects'!$AH$6:$AH$298,0))</f>
        <v>0</v>
      </c>
      <c r="F144" s="143">
        <f t="array" ref="F144">SUM(IF('2014-2017 Projects'!$A$6:$A$298="Executive Support Services",'2014-2017 Projects'!$AI$6:$AI$298,0))</f>
        <v>0</v>
      </c>
      <c r="G144" s="143">
        <f t="array" ref="G144">SUM(IF('2014-2017 Projects'!$A$6:$A$298="Executive Support Services",'2014-2017 Projects'!$AG$6:$AG$298,0))</f>
        <v>0</v>
      </c>
      <c r="H144" s="143">
        <f t="array" ref="H144">SUM(IF('2014-2017 Projects'!$A$6:$A$252="Executive Support Services",'2014-2017 Projects'!$AK$6:$AK$252,0))</f>
        <v>500000</v>
      </c>
      <c r="I144" s="143">
        <f t="array" ref="I144">SUM(IF('2014-2017 Projects'!$A$6:$A$252="Executive Support Services",'2014-2017 Projects'!$AM$6:$AM$252,0))</f>
        <v>6846757</v>
      </c>
      <c r="J144" s="143">
        <f t="array" ref="J144">SUM(IF('2014-2017 Projects'!$A$6:$A$252="Executive Support Services",'2014-2017 Projects'!$AN$6:$AN$252,0))</f>
        <v>0</v>
      </c>
      <c r="K144" s="143">
        <f t="array" ref="K144">SUM(IF('2014-2017 Projects'!$A$6:$A$252="Executive Support Services",'2014-2017 Projects'!$AP$6:$AP$252,0))</f>
        <v>0</v>
      </c>
      <c r="L144" s="143">
        <f t="array" ref="L144">SUM(IF('2014-2017 Projects'!$A$6:$A$252="Executive Support Services",'2014-2017 Projects'!$AQ$6:$AQ$252,0))</f>
        <v>0</v>
      </c>
      <c r="M144" s="143">
        <f t="array" ref="M144">SUM(IF('2014-2017 Projects'!$A$6:$A$252="Executive Support Services",'2014-2017 Projects'!$AS$6:$AS$252,0))</f>
        <v>0</v>
      </c>
      <c r="N144" s="143">
        <f t="array" ref="N144">SUM(IF('2014-2017 Projects'!$A$6:$A$252="Executive Support Services",'2014-2017 Projects'!$AT$6:$AT$252,0))</f>
        <v>0</v>
      </c>
      <c r="O144" s="143">
        <f t="array" ref="O144">SUM(IF('2014-2017 Projects'!$A$6:$A$252="Executive Support Services",'2014-2017 Projects'!$AV$6:$AV$252,0))</f>
        <v>0</v>
      </c>
      <c r="P144" s="143">
        <f t="array" ref="P144">SUM(IF('2014-2017 Projects'!$A$6:$A$252="Executive Support Services",'2014-2017 Projects'!$AW$6:$AW$252,0))</f>
        <v>287453.11000000004</v>
      </c>
      <c r="Q144" s="143">
        <f t="array" ref="Q144">SUM(IF('2014-2017 Projects'!$A$6:$A$252="Executive Support Services",'2014-2017 Projects'!$AY$6:$AY$252,0))</f>
        <v>287453.11000000004</v>
      </c>
      <c r="R144" s="143"/>
      <c r="S144" s="143"/>
      <c r="T144" s="143"/>
      <c r="U144" s="143"/>
      <c r="V144" s="143"/>
      <c r="W144" s="143"/>
      <c r="X144" s="143"/>
      <c r="Y144" s="143"/>
      <c r="Z144" s="143"/>
      <c r="AA144" s="143"/>
      <c r="AB144" s="143"/>
      <c r="AC144" s="143"/>
      <c r="AD144" s="143"/>
      <c r="AE144" s="143"/>
      <c r="AF144" s="143"/>
      <c r="AG144" s="143"/>
      <c r="AH144" s="143">
        <f t="array" ref="AH144">SUM(IF('2014-2017 Projects'!$A$6:$A$252="Executive Support Services",'2014-2017 Projects'!$BY$6:$BY$252,0))</f>
        <v>287453.11000000004</v>
      </c>
      <c r="AI144" s="143">
        <f t="array" ref="AI144">SUM(IF('2014-2017 Projects'!$A$6:$A$252="Executive Support Services",'2014-2017 Projects'!$BZ$6:$BZ$252,0))</f>
        <v>287453.11000000004</v>
      </c>
      <c r="AJ144" s="143">
        <f t="array" ref="AJ144">SUM(IF('2014-2017 Projects'!$A$6:$A$252="Executive Support Services",'2014-2017 Projects'!$BX$6:$BX$252,0))</f>
        <v>10235.219999999999</v>
      </c>
      <c r="AK144" s="143">
        <f>I144-AH144</f>
        <v>6559303.8899999997</v>
      </c>
      <c r="AL144" s="143">
        <f>I144-AI144</f>
        <v>6559303.8899999997</v>
      </c>
      <c r="AM144" s="390">
        <f>AH144/I144</f>
        <v>4.1983834098391404E-2</v>
      </c>
      <c r="AN144" s="390">
        <f>AI144/I144</f>
        <v>4.1983834098391404E-2</v>
      </c>
      <c r="AO144" s="143">
        <f t="array" ref="AO144">SUM(IF('2014-2017 Projects'!$A$6:$A$252="Executive Support Services",'2014-2017 Projects'!$CG$6:$CG$252,0))</f>
        <v>500000</v>
      </c>
      <c r="AP144" s="143">
        <f t="array" ref="AP144">SUM(IF('2014-2017 Projects'!$A$6:$A$252="Executive Support Services",'2014-2017 Projects'!$CH$6:$CH$252,0))</f>
        <v>500000</v>
      </c>
      <c r="AR144" s="143">
        <f t="array" ref="AR144">SUM(IF('2014-2017 Projects'!$A$6:$A$298="Executive Support Services",'2014-2017 Projects'!$CH$6:$CH$298,0))</f>
        <v>500000</v>
      </c>
      <c r="AS144" s="141"/>
      <c r="AT144" s="141"/>
      <c r="AU144" s="281"/>
      <c r="AV144" s="281"/>
      <c r="AW144" s="281"/>
    </row>
    <row r="145" spans="1:54" s="132" customFormat="1" x14ac:dyDescent="0.2">
      <c r="A145" s="142" t="s">
        <v>569</v>
      </c>
      <c r="B145" s="143">
        <f t="array" ref="B145">SUM(IF('2014-2017 Projects'!$A$6:$A$298="Municipal Manager's Office",'2014-2017 Projects'!$AG$6:$AG$298,0))</f>
        <v>12750000</v>
      </c>
      <c r="C145" s="143">
        <f t="array" ref="C145">SUM(IF('2014-2017 Projects'!$A$6:$A$298="Municipal Manager's Office",'2014-2017 Projects'!$AG$6:$AG$298,0))</f>
        <v>12750000</v>
      </c>
      <c r="D145" s="143">
        <f t="array" ref="D145">SUM(IF('2014-2017 Projects'!$A$6:$A$298="Municipal Manager's Office",'2014-2017 Projects'!$AG$6:$AG$298,0))</f>
        <v>12750000</v>
      </c>
      <c r="E145" s="143">
        <f t="array" ref="E145">SUM(IF('2014-2017 Projects'!$A$6:$A$298="Municipal Manager's Office",'2014-2017 Projects'!$AH$6:$AH$298,0))</f>
        <v>-10000000</v>
      </c>
      <c r="F145" s="143">
        <f t="array" ref="F145">SUM(IF('2014-2017 Projects'!$A$6:$A$298="Municipal Manager's Office",'2014-2017 Projects'!$AI$6:$AI$298,0))</f>
        <v>2750000</v>
      </c>
      <c r="G145" s="143"/>
      <c r="H145" s="143">
        <f t="array" ref="H145">SUM(IF('2014-2017 Projects'!$A$6:$A$252="Municipal Manager's Office",'2014-2017 Projects'!$AK$6:$AK$252,0))</f>
        <v>7000000</v>
      </c>
      <c r="I145" s="143">
        <f t="array" ref="I145">SUM(IF('2014-2017 Projects'!$A$6:$A$252="Municipal Manager's Office",'2014-2017 Projects'!$AM$6:$AM$252,0))</f>
        <v>7008500</v>
      </c>
      <c r="J145" s="143">
        <f t="array" ref="J145">SUM(IF('2014-2017 Projects'!$A$6:$A$252="Municipal Manager's Office",'2014-2017 Projects'!$AN$6:$AN$252,0))</f>
        <v>0</v>
      </c>
      <c r="K145" s="143">
        <f t="array" ref="K145">SUM(IF('2014-2017 Projects'!$A$6:$A$252="Municipal Manager's Office",'2014-2017 Projects'!$AP$6:$AP$252,0))</f>
        <v>0</v>
      </c>
      <c r="L145" s="143">
        <f t="array" ref="L145">SUM(IF('2014-2017 Projects'!$A$6:$A$252="Municipal Manager's Office",'2014-2017 Projects'!$AQ$6:$AQ$252,0))</f>
        <v>170805</v>
      </c>
      <c r="M145" s="143">
        <f t="array" ref="M145">SUM(IF('2014-2017 Projects'!$A$6:$A$252="Municipal Manager's Office",'2014-2017 Projects'!$AS$6:$AS$252,0))</f>
        <v>194717.7</v>
      </c>
      <c r="N145" s="143">
        <f t="array" ref="N145">SUM(IF('2014-2017 Projects'!$A$6:$A$252="Municipal Manager's Office",'2014-2017 Projects'!$AT$6:$AT$252,0))</f>
        <v>107792</v>
      </c>
      <c r="O145" s="143">
        <f t="array" ref="O145">SUM(IF('2014-2017 Projects'!$A$6:$A$252="Municipal Manager's Office",'2014-2017 Projects'!$AV$6:$AV$252,0))</f>
        <v>107792</v>
      </c>
      <c r="P145" s="143">
        <f t="array" ref="P145">SUM(IF('2014-2017 Projects'!$A$6:$A$252="Municipal Manager's Office",'2014-2017 Projects'!$AW$6:$AW$252,0))</f>
        <v>2712625.98</v>
      </c>
      <c r="Q145" s="143">
        <f t="array" ref="Q145">SUM(IF('2014-2017 Projects'!$A$6:$A$252="Municipal Manager's Office",'2014-2017 Projects'!$AY$6:$AY$252,0))</f>
        <v>3089388.19</v>
      </c>
      <c r="R145" s="143"/>
      <c r="S145" s="143"/>
      <c r="T145" s="143"/>
      <c r="U145" s="143"/>
      <c r="V145" s="143"/>
      <c r="W145" s="143"/>
      <c r="X145" s="143"/>
      <c r="Y145" s="143"/>
      <c r="Z145" s="143"/>
      <c r="AA145" s="143"/>
      <c r="AB145" s="143"/>
      <c r="AC145" s="143"/>
      <c r="AD145" s="143"/>
      <c r="AE145" s="143"/>
      <c r="AF145" s="143"/>
      <c r="AG145" s="143"/>
      <c r="AH145" s="143">
        <f t="array" ref="AH145">SUM(IF('2014-2017 Projects'!$A$6:$A$252="Municipal Manager's Office",'2014-2017 Projects'!$BY$6:$BY$252,0))</f>
        <v>2991222.98</v>
      </c>
      <c r="AI145" s="143">
        <f t="array" ref="AI145">SUM(IF('2014-2017 Projects'!$A$6:$A$252="Municipal Manager's Office",'2014-2017 Projects'!$BZ$6:$BZ$252,0))</f>
        <v>3391897.89</v>
      </c>
      <c r="AJ145" s="143">
        <f t="array" ref="AJ145">SUM(IF('2014-2017 Projects'!$A$6:$A$252="Municipal Manager's Office",'2014-2017 Projects'!$BX$6:$BX$252,0))</f>
        <v>320335.06</v>
      </c>
      <c r="AK145" s="143">
        <f t="shared" ref="AK145:AK155" si="67">I145-AH145</f>
        <v>4017277.02</v>
      </c>
      <c r="AL145" s="143">
        <f t="shared" ref="AL145:AL155" si="68">I145-AI145</f>
        <v>3616602.11</v>
      </c>
      <c r="AM145" s="390">
        <f t="shared" ref="AM145:AM156" si="69">AH145/I145</f>
        <v>0.42679931226367984</v>
      </c>
      <c r="AN145" s="390">
        <f t="shared" ref="AN145:AN156" si="70">AI145/I145</f>
        <v>0.48396916458586003</v>
      </c>
      <c r="AO145" s="143">
        <f t="array" ref="AO145">SUM(IF('2014-2017 Projects'!$A$6:$A$252="Municipal Manager's Office",'2014-2017 Projects'!$CG$6:$CG$252,0))</f>
        <v>18878000</v>
      </c>
      <c r="AP145" s="143">
        <f t="array" ref="AP145">SUM(IF('2014-2017 Projects'!$A$6:$A$252="Municipal Manager's Office",'2014-2017 Projects'!$CH$6:$CH$252,0))</f>
        <v>19744000</v>
      </c>
      <c r="AR145" s="143">
        <f t="array" ref="AR145">SUM(IF('2014-2017 Projects'!$A$6:$A$298="Municipal Manager's Office",'2014-2017 Projects'!$CH$6:$CH$298,0))</f>
        <v>19744000</v>
      </c>
      <c r="AS145" s="141"/>
      <c r="AT145" s="141"/>
      <c r="AU145" s="281"/>
      <c r="AV145" s="281">
        <v>77950000</v>
      </c>
      <c r="AW145" s="281"/>
    </row>
    <row r="146" spans="1:54" s="132" customFormat="1" x14ac:dyDescent="0.2">
      <c r="A146" s="142" t="s">
        <v>570</v>
      </c>
      <c r="B146" s="143">
        <f t="array" ref="B146">SUM(IF('2014-2017 Projects'!$A$6:$A$277="Chief Operations Officer",'2014-2017 Projects'!$AG$6:$AG$277,0))</f>
        <v>0</v>
      </c>
      <c r="C146" s="143">
        <f t="array" ref="C146">SUM(IF('2014-2017 Projects'!$A$6:$A$277="Chief Operations Officer",'2014-2017 Projects'!$AG$6:$AG$277,0))</f>
        <v>0</v>
      </c>
      <c r="D146" s="143">
        <f t="array" ref="D146">SUM(IF('2014-2017 Projects'!$A$6:$A$277="Chief Operations Officer",'2014-2017 Projects'!$AG$6:$AG$277,0))</f>
        <v>0</v>
      </c>
      <c r="E146" s="143">
        <f t="array" ref="E146">SUM(IF('2014-2017 Projects'!$A$6:$A$277="Chief Operations Officer",'2014-2017 Projects'!$AH$6:$AH$277,0))</f>
        <v>0</v>
      </c>
      <c r="F146" s="143">
        <f t="array" ref="F146">SUM(IF('2014-2017 Projects'!$A$6:$A$277="Chief Operations Officer",'2014-2017 Projects'!$AI$6:$AI$277,0))</f>
        <v>0</v>
      </c>
      <c r="G146" s="143">
        <f t="array" ref="G146">SUM(IF('2014-2017 Projects'!$A$6:$A$277="Chief Operations Officer",'2014-2017 Projects'!$AG$6:$AG$277,0))</f>
        <v>0</v>
      </c>
      <c r="H146" s="143">
        <f t="array" ref="H146">SUM(IF('2014-2017 Projects'!$A$6:$A$252="Human Settlements",'2014-2017 Projects'!$AK$6:$AK$252,0))</f>
        <v>90136108</v>
      </c>
      <c r="I146" s="143">
        <f t="array" ref="I146">SUM(IF('2014-2017 Projects'!$A$6:$A$252="Human Settlements",'2014-2017 Projects'!$AM$6:$AM$252,0))</f>
        <v>100830255</v>
      </c>
      <c r="J146" s="143">
        <f t="array" ref="J146">SUM(IF('2014-2017 Projects'!$A$6:$A$252="Human Settlements",'2014-2017 Projects'!$AN$6:$AN$252,0))</f>
        <v>4419423.2700000005</v>
      </c>
      <c r="K146" s="143">
        <f t="array" ref="K146">SUM(IF('2014-2017 Projects'!$A$6:$A$252="Human Settlements",'2014-2017 Projects'!$AP$6:$AP$252,0))</f>
        <v>4723842.5200000005</v>
      </c>
      <c r="L146" s="143">
        <f t="array" ref="L146">SUM(IF('2014-2017 Projects'!$A$6:$A$252="Human Settlements",'2014-2017 Projects'!$AQ$6:$AQ$252,0))</f>
        <v>7529330.8000000007</v>
      </c>
      <c r="M146" s="143">
        <f t="array" ref="M146">SUM(IF('2014-2017 Projects'!$A$6:$A$252="Human Settlements",'2014-2017 Projects'!$AS$6:$AS$252,0))</f>
        <v>8077761.5700000003</v>
      </c>
      <c r="N146" s="143">
        <f t="array" ref="N146">SUM(IF('2014-2017 Projects'!$A$6:$A$252="Human Settlements",'2014-2017 Projects'!$AT$6:$AT$252,0))</f>
        <v>9250670.4900000002</v>
      </c>
      <c r="O146" s="143">
        <f t="array" ref="O146">SUM(IF('2014-2017 Projects'!$A$6:$A$252="Human Settlements",'2014-2017 Projects'!$AV$6:$AV$252,0))</f>
        <v>10022887.199999999</v>
      </c>
      <c r="P146" s="143">
        <f t="array" ref="P146">SUM(IF('2014-2017 Projects'!$A$6:$A$252="Human Settlements",'2014-2017 Projects'!$AW$6:$AW$252,0))</f>
        <v>14777558.369999999</v>
      </c>
      <c r="Q146" s="143">
        <f t="array" ref="Q146">SUM(IF('2014-2017 Projects'!$A$6:$A$252="Human Settlements",'2014-2017 Projects'!$AY$6:$AY$252,0))</f>
        <v>15468751.92</v>
      </c>
      <c r="R146" s="143"/>
      <c r="S146" s="143"/>
      <c r="T146" s="143"/>
      <c r="U146" s="143"/>
      <c r="V146" s="143"/>
      <c r="W146" s="143"/>
      <c r="X146" s="143"/>
      <c r="Y146" s="143"/>
      <c r="Z146" s="143"/>
      <c r="AA146" s="143"/>
      <c r="AB146" s="143"/>
      <c r="AC146" s="143"/>
      <c r="AD146" s="143"/>
      <c r="AE146" s="143"/>
      <c r="AF146" s="143"/>
      <c r="AG146" s="143"/>
      <c r="AH146" s="143">
        <f t="array" ref="AH146">SUM(IF('2014-2017 Projects'!$A$6:$A$252="Human Settlements",'2014-2017 Projects'!$BY$6:$BY$252,0))</f>
        <v>35976982.93</v>
      </c>
      <c r="AI146" s="143">
        <f t="array" ref="AI146">SUM(IF('2014-2017 Projects'!$A$6:$A$252="Human Settlements",'2014-2017 Projects'!$BZ$6:$BZ$252,0))</f>
        <v>38293243.210000001</v>
      </c>
      <c r="AJ146" s="143">
        <f t="array" ref="AJ146">SUM(IF('2014-2017 Projects'!$A$6:$A$252="Human Settlements",'2014-2017 Projects'!$BX$6:$BX$252,0))</f>
        <v>281202.87</v>
      </c>
      <c r="AK146" s="143">
        <f t="shared" si="67"/>
        <v>64853272.07</v>
      </c>
      <c r="AL146" s="143">
        <f t="shared" si="68"/>
        <v>62537011.789999999</v>
      </c>
      <c r="AM146" s="390">
        <f t="shared" si="69"/>
        <v>0.35680741787274067</v>
      </c>
      <c r="AN146" s="390">
        <f t="shared" si="70"/>
        <v>0.37977929551006295</v>
      </c>
      <c r="AO146" s="143">
        <f t="array" ref="AO146">SUM(IF('2014-2017 Projects'!$A$6:$A$252="Human Settlements",'2014-2017 Projects'!$CG$6:$CG$252,0))</f>
        <v>162968500</v>
      </c>
      <c r="AP146" s="143">
        <f t="array" ref="AP146">SUM(IF('2014-2017 Projects'!$A$6:$A$252="Human Settlements",'2014-2017 Projects'!$CH$6:$CH$252,0))</f>
        <v>266764685</v>
      </c>
      <c r="AR146" s="143">
        <f t="array" ref="AR146">SUM(IF('2014-2017 Projects'!$A$6:$A$277="Chief Operations Officer",'2014-2017 Projects'!$CH$6:$CH$277,0))</f>
        <v>0</v>
      </c>
      <c r="AS146" s="141"/>
      <c r="AT146" s="141"/>
      <c r="AU146" s="281"/>
      <c r="AV146" s="281">
        <v>321031108</v>
      </c>
      <c r="AW146" s="281"/>
    </row>
    <row r="147" spans="1:54" s="132" customFormat="1" ht="13.5" thickBot="1" x14ac:dyDescent="0.25">
      <c r="A147" s="142" t="s">
        <v>571</v>
      </c>
      <c r="B147" s="143">
        <f t="array" ref="B147">SUM(IF('2014-2017 Projects'!$A$6:$A$277="Financial Services",'2014-2017 Projects'!$AG$6:$AG$277,0))</f>
        <v>0</v>
      </c>
      <c r="C147" s="143">
        <f t="array" ref="C147">SUM(IF('2014-2017 Projects'!$A$6:$A$277="Financial Services",'2014-2017 Projects'!$AG$6:$AG$277,0))</f>
        <v>0</v>
      </c>
      <c r="D147" s="143">
        <f t="array" ref="D147">SUM(IF('2014-2017 Projects'!$A$6:$A$277="Financial Services",'2014-2017 Projects'!$AG$6:$AG$277,0))</f>
        <v>0</v>
      </c>
      <c r="E147" s="143">
        <f t="array" ref="E147">SUM(IF('2014-2017 Projects'!$A$6:$A$277="Financial Services",'2014-2017 Projects'!$AH$6:$AH$277,0))</f>
        <v>0</v>
      </c>
      <c r="F147" s="143">
        <f t="array" ref="F147">SUM(IF('2014-2017 Projects'!$A$6:$A$277="Financial Services",'2014-2017 Projects'!$AI$6:$AI$277,0))</f>
        <v>0</v>
      </c>
      <c r="G147" s="143"/>
      <c r="H147" s="143">
        <f t="array" ref="H147">SUM(IF('2014-2017 Projects'!$A$6:$A$252="Financial Services",'2014-2017 Projects'!$AK$6:$AK$252,0))</f>
        <v>2350000</v>
      </c>
      <c r="I147" s="143">
        <f t="array" ref="I147">SUM(IF('2014-2017 Projects'!$A$6:$A$252="Financial Services",'2014-2017 Projects'!$AM$6:$AM$252,0))</f>
        <v>2825902</v>
      </c>
      <c r="J147" s="143">
        <f t="array" ref="J147">SUM(IF('2014-2017 Projects'!$A$6:$A$252="Financial Services",'2014-2017 Projects'!$AN$6:$AN$252,0))</f>
        <v>19074.32</v>
      </c>
      <c r="K147" s="143">
        <f t="array" ref="K147">SUM(IF('2014-2017 Projects'!$A$6:$A$252="Financial Services",'2014-2017 Projects'!$AP$6:$AP$252,0))</f>
        <v>19074.32</v>
      </c>
      <c r="L147" s="143">
        <f t="array" ref="L147">SUM(IF('2014-2017 Projects'!$A$6:$A$252="Financial Services",'2014-2017 Projects'!$AQ$6:$AQ$252,0))</f>
        <v>0</v>
      </c>
      <c r="M147" s="143">
        <f t="array" ref="M147">SUM(IF('2014-2017 Projects'!$A$6:$A$252="Financial Services",'2014-2017 Projects'!$AS$6:$AS$252,0))</f>
        <v>0</v>
      </c>
      <c r="N147" s="143">
        <f t="array" ref="N147">SUM(IF('2014-2017 Projects'!$A$6:$A$252="Financial Services",'2014-2017 Projects'!$AT$6:$AT$252,0))</f>
        <v>0</v>
      </c>
      <c r="O147" s="143">
        <f t="array" ref="O147">SUM(IF('2014-2017 Projects'!$A$6:$A$252="Financial Services",'2014-2017 Projects'!$AV$6:$AV$252,0))</f>
        <v>0</v>
      </c>
      <c r="P147" s="143">
        <f t="array" ref="P147">SUM(IF('2014-2017 Projects'!$A$6:$A$252="Financial Services",'2014-2017 Projects'!$AW$6:$AW$252,0))</f>
        <v>10251</v>
      </c>
      <c r="Q147" s="143">
        <f t="array" ref="Q147">SUM(IF('2014-2017 Projects'!$A$6:$A$252="Financial Services",'2014-2017 Projects'!$AY$6:$AY$252,0))</f>
        <v>10251</v>
      </c>
      <c r="R147" s="143"/>
      <c r="S147" s="143"/>
      <c r="T147" s="143"/>
      <c r="U147" s="143"/>
      <c r="V147" s="143"/>
      <c r="W147" s="143"/>
      <c r="X147" s="143"/>
      <c r="Y147" s="143"/>
      <c r="Z147" s="143"/>
      <c r="AA147" s="143"/>
      <c r="AB147" s="143"/>
      <c r="AC147" s="143"/>
      <c r="AD147" s="143"/>
      <c r="AE147" s="143"/>
      <c r="AF147" s="143"/>
      <c r="AG147" s="143"/>
      <c r="AH147" s="143">
        <f t="array" ref="AH147">SUM(IF('2014-2017 Projects'!$A$6:$A$252="Financial Services",'2014-2017 Projects'!$BY$6:$BY$252,0))</f>
        <v>29325.32</v>
      </c>
      <c r="AI147" s="143">
        <f t="array" ref="AI147">SUM(IF('2014-2017 Projects'!$A$6:$A$252="Financial Services",'2014-2017 Projects'!$BZ$6:$BZ$252,0))</f>
        <v>29325.32</v>
      </c>
      <c r="AJ147" s="143">
        <f t="array" ref="AJ147">SUM(IF('2014-2017 Projects'!$A$6:$A$252="Financial Services",'2014-2017 Projects'!$BX$6:$BX$252,0))</f>
        <v>24913.5</v>
      </c>
      <c r="AK147" s="143">
        <f t="shared" si="67"/>
        <v>2796576.68</v>
      </c>
      <c r="AL147" s="143">
        <f t="shared" si="68"/>
        <v>2796576.68</v>
      </c>
      <c r="AM147" s="390">
        <f t="shared" si="69"/>
        <v>1.0377330848698929E-2</v>
      </c>
      <c r="AN147" s="390">
        <f t="shared" si="70"/>
        <v>1.0377330848698929E-2</v>
      </c>
      <c r="AO147" s="143">
        <f t="array" ref="AO147">SUM(IF('2014-2017 Projects'!$A$6:$A$252="Financial Services",'2014-2017 Projects'!$CG$6:$CG$252,0))</f>
        <v>2000000</v>
      </c>
      <c r="AP147" s="143">
        <f t="array" ref="AP147">SUM(IF('2014-2017 Projects'!$A$6:$A$252="Financial Services",'2014-2017 Projects'!$CH$6:$CH$252,0))</f>
        <v>500000</v>
      </c>
      <c r="AR147" s="143">
        <f t="array" ref="AR147">SUM(IF('2014-2017 Projects'!$A$6:$A$277="Financial Services",'2014-2017 Projects'!$CH$6:$CH$277,0))</f>
        <v>500000</v>
      </c>
      <c r="AS147" s="141"/>
      <c r="AT147" s="141"/>
      <c r="AU147" s="281"/>
      <c r="AV147" s="320">
        <f>SUM(AV145:AV146)</f>
        <v>398981108</v>
      </c>
      <c r="AW147" s="281"/>
    </row>
    <row r="148" spans="1:54" s="132" customFormat="1" ht="13.5" thickTop="1" x14ac:dyDescent="0.2">
      <c r="A148" s="142" t="s">
        <v>572</v>
      </c>
      <c r="B148" s="143">
        <f t="array" ref="B148">SUM(IF('2014-2017 Projects'!$A$6:$A$277="Corporate Services",'2014-2017 Projects'!$AG$6:$AG$277,0))</f>
        <v>6600000</v>
      </c>
      <c r="C148" s="143">
        <f t="array" ref="C148">SUM(IF('2014-2017 Projects'!$A$6:$A$277="Corporate Services",'2014-2017 Projects'!$AG$6:$AG$277,0))</f>
        <v>6600000</v>
      </c>
      <c r="D148" s="143">
        <f t="array" ref="D148">SUM(IF('2014-2017 Projects'!$A$6:$A$277="Corporate Services",'2014-2017 Projects'!$AG$6:$AG$277,0))</f>
        <v>6600000</v>
      </c>
      <c r="E148" s="143">
        <f t="array" ref="E148">SUM(IF('2014-2017 Projects'!$A$6:$A$277="Corporate Services",'2014-2017 Projects'!$AH$6:$AH$277,0))</f>
        <v>0</v>
      </c>
      <c r="F148" s="143">
        <f t="array" ref="F148">SUM(IF('2014-2017 Projects'!$A$6:$A$277="Corporate Services",'2014-2017 Projects'!$AI$6:$AI$277,0))</f>
        <v>6600000</v>
      </c>
      <c r="G148" s="143"/>
      <c r="H148" s="143">
        <f t="array" ref="H148">SUM(IF('2014-2017 Projects'!$A$6:$A$252="Corporate Services",'2014-2017 Projects'!$AK$6:$AK$252,0))</f>
        <v>15100000</v>
      </c>
      <c r="I148" s="143">
        <f t="array" ref="I148">SUM(IF('2014-2017 Projects'!$A$6:$A$252="Corporate Services",'2014-2017 Projects'!$AM$6:$AM$252,0))</f>
        <v>23437633</v>
      </c>
      <c r="J148" s="143">
        <f t="array" ref="J148">SUM(IF('2014-2017 Projects'!$A$6:$A$252="Corporate Services",'2014-2017 Projects'!$AN$6:$AN$252,0))</f>
        <v>0</v>
      </c>
      <c r="K148" s="143">
        <f t="array" ref="K148">SUM(IF('2014-2017 Projects'!$A$6:$A$252="Corporate Services",'2014-2017 Projects'!$AP$6:$AP$252,0))</f>
        <v>0</v>
      </c>
      <c r="L148" s="143">
        <f t="array" ref="L148">SUM(IF('2014-2017 Projects'!$A$6:$A$252="Corporate Services",'2014-2017 Projects'!$AQ$6:$AQ$252,0))</f>
        <v>0</v>
      </c>
      <c r="M148" s="143">
        <f t="array" ref="M148">SUM(IF('2014-2017 Projects'!$A$6:$A$252="Corporate Services",'2014-2017 Projects'!$AS$6:$AS$252,0))</f>
        <v>0</v>
      </c>
      <c r="N148" s="143">
        <f t="array" ref="N148">SUM(IF('2014-2017 Projects'!$A$6:$A$252="Corporate Services",'2014-2017 Projects'!$AT$6:$AT$252,0))</f>
        <v>589776.79</v>
      </c>
      <c r="O148" s="143">
        <f t="array" ref="O148">SUM(IF('2014-2017 Projects'!$A$6:$A$252="Corporate Services",'2014-2017 Projects'!$AV$6:$AV$252,0))</f>
        <v>589776.79</v>
      </c>
      <c r="P148" s="143">
        <f t="array" ref="P148">SUM(IF('2014-2017 Projects'!$A$6:$A$252="Corporate Services",'2014-2017 Projects'!$AW$6:$AW$252,0))</f>
        <v>353865.69</v>
      </c>
      <c r="Q148" s="143">
        <f t="array" ref="Q148">SUM(IF('2014-2017 Projects'!$A$6:$A$252="Corporate Services",'2014-2017 Projects'!$AY$6:$AY$252,0))</f>
        <v>353865.69</v>
      </c>
      <c r="R148" s="143"/>
      <c r="S148" s="143"/>
      <c r="T148" s="143"/>
      <c r="U148" s="143"/>
      <c r="V148" s="143"/>
      <c r="W148" s="143"/>
      <c r="X148" s="143"/>
      <c r="Y148" s="143"/>
      <c r="Z148" s="143"/>
      <c r="AA148" s="143"/>
      <c r="AB148" s="143"/>
      <c r="AC148" s="143"/>
      <c r="AD148" s="143"/>
      <c r="AE148" s="143"/>
      <c r="AF148" s="143"/>
      <c r="AG148" s="143"/>
      <c r="AH148" s="143">
        <f t="array" ref="AH148">SUM(IF('2014-2017 Projects'!$A$6:$A$252="Corporate Services",'2014-2017 Projects'!$BY$6:$BY$252,0))</f>
        <v>943642.4800000001</v>
      </c>
      <c r="AI148" s="143">
        <f t="array" ref="AI148">SUM(IF('2014-2017 Projects'!$A$6:$A$252="Corporate Services",'2014-2017 Projects'!$BZ$6:$BZ$252,0))</f>
        <v>943642.4800000001</v>
      </c>
      <c r="AJ148" s="143">
        <f t="array" ref="AJ148">SUM(IF('2014-2017 Projects'!$A$6:$A$252="Corporate Services",'2014-2017 Projects'!$BX$6:$BX$252,0))</f>
        <v>652593.68999999994</v>
      </c>
      <c r="AK148" s="143">
        <f t="shared" si="67"/>
        <v>22493990.52</v>
      </c>
      <c r="AL148" s="143">
        <f t="shared" si="68"/>
        <v>22493990.52</v>
      </c>
      <c r="AM148" s="390">
        <f t="shared" si="69"/>
        <v>4.0261850674084713E-2</v>
      </c>
      <c r="AN148" s="390">
        <f t="shared" si="70"/>
        <v>4.0261850674084713E-2</v>
      </c>
      <c r="AO148" s="143">
        <f t="array" ref="AO148">SUM(IF('2014-2017 Projects'!$A$6:$A$252="Corporate Services",'2014-2017 Projects'!$CG$6:$CG$252,0))</f>
        <v>22100000</v>
      </c>
      <c r="AP148" s="143">
        <f t="array" ref="AP148">SUM(IF('2014-2017 Projects'!$A$6:$A$252="Corporate Services",'2014-2017 Projects'!$CH$6:$CH$252,0))</f>
        <v>20200000</v>
      </c>
      <c r="AR148" s="143">
        <f t="array" ref="AR148">SUM(IF('2014-2017 Projects'!$A$6:$A$277="Corporate Services",'2014-2017 Projects'!$CH$6:$CH$277,0))</f>
        <v>20200000</v>
      </c>
      <c r="AS148" s="141"/>
      <c r="AT148" s="141"/>
      <c r="AU148" s="281"/>
      <c r="AV148" s="281"/>
      <c r="AW148" s="281"/>
    </row>
    <row r="149" spans="1:54" s="132" customFormat="1" x14ac:dyDescent="0.2">
      <c r="A149" s="142" t="s">
        <v>573</v>
      </c>
      <c r="B149" s="143"/>
      <c r="C149" s="143"/>
      <c r="D149" s="143">
        <f t="array" ref="D149">SUM(IF('2014-2017 Projects'!$A$6:$A$277="Engineering Services",'2014-2017 Projects'!$AG$6:$AG$277,0))</f>
        <v>122746331.88</v>
      </c>
      <c r="E149" s="143">
        <f t="array" ref="E149">SUM(IF('2014-2017 Projects'!$A$6:$A$277="Engineering Services",'2014-2017 Projects'!$AH$6:$AH$277,0))</f>
        <v>32584305</v>
      </c>
      <c r="F149" s="143">
        <f t="array" ref="F149">SUM(IF('2014-2017 Projects'!$A$6:$A$277="Engineering Services",'2014-2017 Projects'!$AI$6:$AI$277,0))</f>
        <v>155330636.88</v>
      </c>
      <c r="G149" s="143"/>
      <c r="H149" s="143">
        <f t="array" ref="H149">SUM(IF('2014-2017 Projects'!$A$6:$A$252="Engineering Services",'2014-2017 Projects'!$AK$6:$AK$252,0))</f>
        <v>665695618</v>
      </c>
      <c r="I149" s="143">
        <f t="array" ref="I149">SUM(IF('2014-2017 Projects'!$A$6:$A$252="Engineering Services",'2014-2017 Projects'!$AM$6:$AM$252,0))</f>
        <v>674316199</v>
      </c>
      <c r="J149" s="143">
        <f t="array" ref="J149">SUM(IF('2014-2017 Projects'!$A$6:$A$252="Engineering Services",'2014-2017 Projects'!$AN$6:$AN$252,0))</f>
        <v>-213299.06999999998</v>
      </c>
      <c r="K149" s="143">
        <f t="array" ref="K149">SUM(IF('2014-2017 Projects'!$A$6:$A$252="Engineering Services",'2014-2017 Projects'!$AP$6:$AP$252,0))</f>
        <v>-213299.06999999998</v>
      </c>
      <c r="L149" s="143">
        <f t="array" ref="L149">SUM(IF('2014-2017 Projects'!$A$6:$A$252="Engineering Services",'2014-2017 Projects'!$AQ$6:$AQ$252,0))</f>
        <v>24752777.269999996</v>
      </c>
      <c r="M149" s="143">
        <f t="array" ref="M149">SUM(IF('2014-2017 Projects'!$A$6:$A$252="Engineering Services",'2014-2017 Projects'!$AS$6:$AS$252,0))</f>
        <v>27632300.169999998</v>
      </c>
      <c r="N149" s="143">
        <f t="array" ref="N149">SUM(IF('2014-2017 Projects'!$A$6:$A$252="Engineering Services",'2014-2017 Projects'!$AT$6:$AT$252,0))</f>
        <v>48211032.359999999</v>
      </c>
      <c r="O149" s="143">
        <f t="array" ref="O149">SUM(IF('2014-2017 Projects'!$A$6:$A$252="Engineering Services",'2014-2017 Projects'!$AV$6:$AV$252,0))</f>
        <v>52432221.059999995</v>
      </c>
      <c r="P149" s="143">
        <f t="array" ref="P149">SUM(IF('2014-2017 Projects'!$A$6:$A$252="Engineering Services",'2014-2017 Projects'!$AW$6:$AW$252,0))</f>
        <v>59094381.440000005</v>
      </c>
      <c r="Q149" s="143">
        <f t="array" ref="Q149">SUM(IF('2014-2017 Projects'!$A$6:$A$252="Engineering Services",'2014-2017 Projects'!$AY$6:$AY$252,0))</f>
        <v>64536254</v>
      </c>
      <c r="R149" s="143"/>
      <c r="S149" s="143"/>
      <c r="T149" s="143"/>
      <c r="U149" s="143"/>
      <c r="V149" s="143"/>
      <c r="W149" s="143"/>
      <c r="X149" s="143"/>
      <c r="Y149" s="143"/>
      <c r="Z149" s="143"/>
      <c r="AA149" s="143"/>
      <c r="AB149" s="143"/>
      <c r="AC149" s="143"/>
      <c r="AD149" s="143"/>
      <c r="AE149" s="143"/>
      <c r="AF149" s="143"/>
      <c r="AG149" s="143"/>
      <c r="AH149" s="143">
        <f t="array" ref="AH149">SUM(IF('2014-2017 Projects'!$A$6:$A$252="Engineering Services",'2014-2017 Projects'!$BY$6:$BY$252,0))</f>
        <v>131844892</v>
      </c>
      <c r="AI149" s="143">
        <f t="array" ref="AI149">SUM(IF('2014-2017 Projects'!$A$6:$A$252="Engineering Services",'2014-2017 Projects'!$BZ$6:$BZ$252,0))</f>
        <v>144387476.16</v>
      </c>
      <c r="AJ149" s="143">
        <f t="array" ref="AJ149">SUM(IF('2014-2017 Projects'!$A$6:$A$252="Engineering Services",'2014-2017 Projects'!$BX$6:$BX$252,0))</f>
        <v>42675047.740000002</v>
      </c>
      <c r="AK149" s="143">
        <f t="shared" si="67"/>
        <v>542471307</v>
      </c>
      <c r="AL149" s="143">
        <f t="shared" si="68"/>
        <v>529928722.84000003</v>
      </c>
      <c r="AM149" s="390">
        <f t="shared" si="69"/>
        <v>0.19552383910622914</v>
      </c>
      <c r="AN149" s="390">
        <f t="shared" si="70"/>
        <v>0.21412428824062701</v>
      </c>
      <c r="AO149" s="143">
        <f t="array" ref="AO149">SUM(IF('2014-2017 Projects'!$A$6:$A$252="Engineering Services",'2014-2017 Projects'!$CG$6:$CG$252,0))</f>
        <v>1027000000</v>
      </c>
      <c r="AP149" s="143">
        <f t="array" ref="AP149">SUM(IF('2014-2017 Projects'!$A$6:$A$252="Engineering Services",'2014-2017 Projects'!$CH$6:$CH$252,0))</f>
        <v>895000000</v>
      </c>
      <c r="AR149" s="143">
        <f t="array" ref="AR149">SUM(IF('2014-2017 Projects'!$A$6:$A$277="Engineering Services",'2014-2017 Projects'!$CH$6:$CH$277,0))</f>
        <v>895000000</v>
      </c>
      <c r="AS149" s="141"/>
      <c r="AT149" s="141"/>
      <c r="AU149" s="281"/>
      <c r="AV149" s="281">
        <v>255845288</v>
      </c>
      <c r="AW149" s="281"/>
    </row>
    <row r="150" spans="1:54" s="132" customFormat="1" x14ac:dyDescent="0.2">
      <c r="A150" s="142" t="s">
        <v>574</v>
      </c>
      <c r="B150" s="143"/>
      <c r="C150" s="143"/>
      <c r="D150" s="143">
        <f t="array" ref="D150">SUM(IF('2014-2017 Projects'!$A$6:$A$277="Directorate of Development Planning",'2014-2017 Projects'!$AG$6:$AG$277,0))</f>
        <v>12000000</v>
      </c>
      <c r="E150" s="143">
        <f t="array" ref="E150">SUM(IF('2014-2017 Projects'!$A$6:$A$277="Directorate of Development Planning",'2014-2017 Projects'!$AH$6:$AH$277,0))</f>
        <v>800000</v>
      </c>
      <c r="F150" s="143">
        <f t="array" ref="F150">SUM(IF('2014-2017 Projects'!$A$6:$A$277="Directorate of Development Planning",'2014-2017 Projects'!$AI$6:$AI$277,0))</f>
        <v>12800000</v>
      </c>
      <c r="G150" s="143">
        <f t="array" ref="G150">SUM(IF('2014-2017 Projects'!$A$6:$A$277="Directorate of Development Planning",'2014-2017 Projects'!$AG$6:$AG$277,0))</f>
        <v>12000000</v>
      </c>
      <c r="H150" s="143">
        <f t="array" ref="H150">SUM(IF('2014-2017 Projects'!$A$6:$A$252="Directorate of Development Planning",'2014-2017 Projects'!$AK$6:$AK$252,0))</f>
        <v>44895288</v>
      </c>
      <c r="I150" s="143">
        <f t="array" ref="I150">SUM(IF('2014-2017 Projects'!$A$6:$A$252="Directorate of Development Planning",'2014-2017 Projects'!$AM$6:$AM$252,0))</f>
        <v>46525207</v>
      </c>
      <c r="J150" s="143">
        <f t="array" ref="J150">SUM(IF('2014-2017 Projects'!$A$6:$A$252="Directorate of Development Planning",'2014-2017 Projects'!$AN$6:$AN$252,0))</f>
        <v>52995</v>
      </c>
      <c r="K150" s="143">
        <f t="array" ref="K150">SUM(IF('2014-2017 Projects'!$A$6:$A$252="Directorate of Development Planning",'2014-2017 Projects'!$AP$6:$AP$252,0))</f>
        <v>54571.4</v>
      </c>
      <c r="L150" s="143">
        <f t="array" ref="L150">SUM(IF('2014-2017 Projects'!$A$6:$A$252="Directorate of Development Planning",'2014-2017 Projects'!$AQ$6:$AQ$252,0))</f>
        <v>2901318.5</v>
      </c>
      <c r="M150" s="143">
        <f t="array" ref="M150">SUM(IF('2014-2017 Projects'!$A$6:$A$252="Directorate of Development Planning",'2014-2017 Projects'!$AS$6:$AS$252,0))</f>
        <v>3177418.3</v>
      </c>
      <c r="N150" s="143">
        <f t="array" ref="N150">SUM(IF('2014-2017 Projects'!$A$6:$A$252="Directorate of Development Planning",'2014-2017 Projects'!$AT$6:$AT$252,0))</f>
        <v>2096477.84</v>
      </c>
      <c r="O150" s="143">
        <f t="array" ref="O150">SUM(IF('2014-2017 Projects'!$A$6:$A$252="Directorate of Development Planning",'2014-2017 Projects'!$AV$6:$AV$252,0))</f>
        <v>2325205.8099999996</v>
      </c>
      <c r="P150" s="143">
        <f t="array" ref="P150">SUM(IF('2014-2017 Projects'!$A$6:$A$252="Directorate of Development Planning",'2014-2017 Projects'!$AW$6:$AW$252,0))</f>
        <v>1406454.44</v>
      </c>
      <c r="Q150" s="143">
        <f t="array" ref="Q150">SUM(IF('2014-2017 Projects'!$A$6:$A$252="Directorate of Development Planning",'2014-2017 Projects'!$AY$6:$AY$252,0))</f>
        <v>1408030.84</v>
      </c>
      <c r="R150" s="143"/>
      <c r="S150" s="143"/>
      <c r="T150" s="143"/>
      <c r="U150" s="143"/>
      <c r="V150" s="143"/>
      <c r="W150" s="143"/>
      <c r="X150" s="143"/>
      <c r="Y150" s="143"/>
      <c r="Z150" s="143"/>
      <c r="AA150" s="143"/>
      <c r="AB150" s="143"/>
      <c r="AC150" s="143"/>
      <c r="AD150" s="143"/>
      <c r="AE150" s="143"/>
      <c r="AF150" s="143"/>
      <c r="AG150" s="143"/>
      <c r="AH150" s="143">
        <f t="array" ref="AH150">SUM(IF('2014-2017 Projects'!$A$6:$A$252="Directorate of Development Planning",'2014-2017 Projects'!$BY$6:$BY$252,0))</f>
        <v>6457245.7799999993</v>
      </c>
      <c r="AI150" s="143">
        <f t="array" ref="AI150">SUM(IF('2014-2017 Projects'!$A$6:$A$252="Directorate of Development Planning",'2014-2017 Projects'!$BZ$6:$BZ$252,0))</f>
        <v>6965226.3499999996</v>
      </c>
      <c r="AJ150" s="143">
        <f t="array" ref="AJ150">SUM(IF('2014-2017 Projects'!$A$6:$A$252="Directorate of Development Planning",'2014-2017 Projects'!$BX$6:$BX$252,0))</f>
        <v>11221667.58</v>
      </c>
      <c r="AK150" s="143">
        <f t="shared" si="67"/>
        <v>40067961.219999999</v>
      </c>
      <c r="AL150" s="143">
        <f t="shared" si="68"/>
        <v>39559980.649999999</v>
      </c>
      <c r="AM150" s="390">
        <f t="shared" si="69"/>
        <v>0.13879026438291825</v>
      </c>
      <c r="AN150" s="390">
        <f t="shared" si="70"/>
        <v>0.14970865900714853</v>
      </c>
      <c r="AO150" s="143">
        <f t="array" ref="AO150">SUM(IF('2014-2017 Projects'!$A$6:$A$252="Directorate of Development Planning",'2014-2017 Projects'!$CG$6:$CG$252,0))</f>
        <v>42220661</v>
      </c>
      <c r="AP150" s="143">
        <f t="array" ref="AP150">SUM(IF('2014-2017 Projects'!$A$6:$A$252="Directorate of Development Planning",'2014-2017 Projects'!$CH$6:$CH$252,0))</f>
        <v>73655051</v>
      </c>
      <c r="AR150" s="143">
        <f t="array" ref="AR150">SUM(IF('2014-2017 Projects'!$A$6:$A$277="Directorate of Development Planning",'2014-2017 Projects'!$CH$6:$CH$277,0))</f>
        <v>156655051</v>
      </c>
      <c r="AS150" s="141"/>
      <c r="AT150" s="141"/>
      <c r="AU150" s="281"/>
      <c r="AV150" s="281">
        <v>673289000</v>
      </c>
      <c r="AW150" s="281"/>
    </row>
    <row r="151" spans="1:54" s="132" customFormat="1" x14ac:dyDescent="0.2">
      <c r="A151" s="142" t="s">
        <v>575</v>
      </c>
      <c r="B151" s="143"/>
      <c r="C151" s="143"/>
      <c r="D151" s="143"/>
      <c r="E151" s="143"/>
      <c r="F151" s="143"/>
      <c r="G151" s="143"/>
      <c r="H151" s="143">
        <f t="array" ref="H151">SUM(IF('2014-2017 Projects'!$A$6:$A$252="Directorate of Economic Development",'2014-2017 Projects'!$AK$6:$AK$252,0))</f>
        <v>10000000</v>
      </c>
      <c r="I151" s="143">
        <f t="array" ref="I151">SUM(IF('2014-2017 Projects'!$A$6:$A$252="Directorate of Economic Development",'2014-2017 Projects'!$AM$6:$AM$252,0))</f>
        <v>10026000</v>
      </c>
      <c r="J151" s="143">
        <f t="array" ref="J151">SUM(IF('2014-2017 Projects'!$A$6:$A$252="Directorate of Economic Development",'2014-2017 Projects'!$AN$6:$AN$252,0))</f>
        <v>0</v>
      </c>
      <c r="K151" s="143">
        <f t="array" ref="K151">SUM(IF('2014-2017 Projects'!$A$6:$A$252="Directorate of Economic Development",'2014-2017 Projects'!$AP$6:$AP$252,0))</f>
        <v>0</v>
      </c>
      <c r="L151" s="143">
        <f t="array" ref="L151">SUM(IF('2014-2017 Projects'!$A$6:$A$252="Directorate of Economic Development",'2014-2017 Projects'!$AQ$6:$AQ$252,0))</f>
        <v>0</v>
      </c>
      <c r="M151" s="143">
        <f t="array" ref="M151">SUM(IF('2014-2017 Projects'!$A$6:$A$252="Directorate of Economic Development",'2014-2017 Projects'!$AS$6:$AS$252,0))</f>
        <v>0</v>
      </c>
      <c r="N151" s="143">
        <f t="array" ref="N151">SUM(IF('2014-2017 Projects'!$A$6:$A$252="Directorate of Economic Development",'2014-2017 Projects'!$AT$6:$AT$252,0))</f>
        <v>0</v>
      </c>
      <c r="O151" s="143">
        <f t="array" ref="O151">SUM(IF('2014-2017 Projects'!$A$6:$A$252="Directorate of Economic Development",'2014-2017 Projects'!$AV$6:$AV$252,0))</f>
        <v>0</v>
      </c>
      <c r="P151" s="143">
        <f t="array" ref="P151">SUM(IF('2014-2017 Projects'!$A$6:$A$252="Directorate of Economic Development",'2014-2017 Projects'!$AW$6:$AW$252,0))</f>
        <v>0</v>
      </c>
      <c r="Q151" s="143">
        <f t="array" ref="Q151">SUM(IF('2014-2017 Projects'!$A$6:$A$252="Directorate of Economic Development",'2014-2017 Projects'!$AY$6:$AY$252,0))</f>
        <v>0</v>
      </c>
      <c r="R151" s="143"/>
      <c r="S151" s="143"/>
      <c r="T151" s="143"/>
      <c r="U151" s="143"/>
      <c r="V151" s="143"/>
      <c r="W151" s="143"/>
      <c r="X151" s="143"/>
      <c r="Y151" s="143"/>
      <c r="Z151" s="143"/>
      <c r="AA151" s="143"/>
      <c r="AB151" s="143"/>
      <c r="AC151" s="143"/>
      <c r="AD151" s="143"/>
      <c r="AE151" s="143"/>
      <c r="AF151" s="143"/>
      <c r="AG151" s="143"/>
      <c r="AH151" s="143">
        <f t="array" ref="AH151">SUM(IF('2014-2017 Projects'!$A$6:$A$252="Directorate of Economic Development",'2014-2017 Projects'!$BY$6:$BY$252,0))</f>
        <v>0</v>
      </c>
      <c r="AI151" s="143">
        <f t="array" ref="AI151">SUM(IF('2014-2017 Projects'!$A$6:$A$252="Directorate of Economic Development",'2014-2017 Projects'!$BZ$6:$BZ$252,0))</f>
        <v>0</v>
      </c>
      <c r="AJ151" s="143">
        <f t="array" ref="AJ151">SUM(IF('2014-2017 Projects'!$A$6:$A$252="Directorate of Economic Development",'2014-2017 Projects'!$BX$6:$BX$252,0))</f>
        <v>0</v>
      </c>
      <c r="AK151" s="143">
        <f t="shared" si="67"/>
        <v>10026000</v>
      </c>
      <c r="AL151" s="143">
        <f t="shared" si="68"/>
        <v>10026000</v>
      </c>
      <c r="AM151" s="390">
        <f t="shared" si="69"/>
        <v>0</v>
      </c>
      <c r="AN151" s="390">
        <f t="shared" si="70"/>
        <v>0</v>
      </c>
      <c r="AO151" s="143">
        <f t="array" ref="AO151">SUM(IF('2014-2017 Projects'!$A$6:$A$252="Directorate of Economic Development",'2014-2017 Projects'!$CG$6:$CG$252,0))</f>
        <v>10000000</v>
      </c>
      <c r="AP151" s="143">
        <f t="array" ref="AP151">SUM(IF('2014-2017 Projects'!$A$6:$A$252="Directorate of Economic Development",'2014-2017 Projects'!$CG$6:$CG$252,0))</f>
        <v>10000000</v>
      </c>
      <c r="AR151" s="143"/>
      <c r="AS151" s="141"/>
      <c r="AT151" s="141"/>
      <c r="AU151" s="281"/>
      <c r="AV151" s="281"/>
      <c r="AW151" s="281"/>
    </row>
    <row r="152" spans="1:54" s="132" customFormat="1" ht="13.5" thickBot="1" x14ac:dyDescent="0.25">
      <c r="A152" s="142" t="s">
        <v>576</v>
      </c>
      <c r="B152" s="143"/>
      <c r="C152" s="143"/>
      <c r="D152" s="143">
        <f t="array" ref="D152">SUM(IF('2014-2017 Projects'!$A$6:$A$277="Health and Public Safety",'2014-2017 Projects'!$AG$6:$AG$277,0))</f>
        <v>2250000</v>
      </c>
      <c r="E152" s="143">
        <f t="array" ref="E152">SUM(IF('2014-2017 Projects'!$A$6:$A$277="Health and Public Safety",'2014-2017 Projects'!$AH$6:$AH$277,0))</f>
        <v>-2000000</v>
      </c>
      <c r="F152" s="143">
        <f t="array" ref="F152">SUM(IF('2014-2017 Projects'!$A$6:$A$277="Health and Public Safety",'2014-2017 Projects'!$AI$6:$AI$277,0))</f>
        <v>250000</v>
      </c>
      <c r="G152" s="143">
        <f t="array" ref="G152">SUM(IF('2014-2017 Projects'!$A$6:$A$277="Health and Public Safety",'2014-2017 Projects'!$AG$6:$AG$277,0))</f>
        <v>2250000</v>
      </c>
      <c r="H152" s="143">
        <f t="array" ref="H152">SUM(IF('2014-2017 Projects'!$A$6:$A$252="Health and Public Safety",'2014-2017 Projects'!$AK$6:$AK$252,0))</f>
        <v>9800000</v>
      </c>
      <c r="I152" s="143">
        <f t="array" ref="I152">SUM(IF('2014-2017 Projects'!$A$6:$A$252="Health and Public Safety",'2014-2017 Projects'!$AM$6:$AM$252,0))</f>
        <v>13866980</v>
      </c>
      <c r="J152" s="143">
        <f t="array" ref="J152">SUM(IF('2014-2017 Projects'!$A$6:$A$252="Health and Public Safety",'2014-2017 Projects'!$AN$6:$AN$252,0))</f>
        <v>1102.6300000000001</v>
      </c>
      <c r="K152" s="143">
        <f t="array" ref="K152">SUM(IF('2014-2017 Projects'!$A$6:$A$252="Health and Public Safety",'2014-2017 Projects'!$AP$6:$AP$252,0))</f>
        <v>1102.6300000000001</v>
      </c>
      <c r="L152" s="143">
        <f t="array" ref="L152">SUM(IF('2014-2017 Projects'!$A$6:$A$252="Health and Public Safety",'2014-2017 Projects'!$AQ$6:$AQ$252,0))</f>
        <v>761505.76</v>
      </c>
      <c r="M152" s="143">
        <f t="array" ref="M152">SUM(IF('2014-2017 Projects'!$A$6:$A$252="Health and Public Safety",'2014-2017 Projects'!$AS$6:$AS$252,0))</f>
        <v>761505.76</v>
      </c>
      <c r="N152" s="143">
        <f t="array" ref="N152">SUM(IF('2014-2017 Projects'!$A$6:$A$252="Health and Public Safety",'2014-2017 Projects'!$AT$6:$AT$252,0))</f>
        <v>1653.9500000000698</v>
      </c>
      <c r="O152" s="143">
        <f t="array" ref="O152">SUM(IF('2014-2017 Projects'!$A$6:$A$252="Health and Public Safety",'2014-2017 Projects'!$AV$6:$AV$252,0))</f>
        <v>1653.9500000000698</v>
      </c>
      <c r="P152" s="143">
        <f t="array" ref="P152">SUM(IF('2014-2017 Projects'!$A$6:$A$252="Health and Public Safety",'2014-2017 Projects'!$AW$6:$AW$252,0))</f>
        <v>177174.39</v>
      </c>
      <c r="Q152" s="143">
        <f t="array" ref="Q152">SUM(IF('2014-2017 Projects'!$A$6:$A$252="Health and Public Safety",'2014-2017 Projects'!$AY$6:$AY$252,0))</f>
        <v>177174.39</v>
      </c>
      <c r="R152" s="143"/>
      <c r="S152" s="143"/>
      <c r="T152" s="143"/>
      <c r="U152" s="143"/>
      <c r="V152" s="143"/>
      <c r="W152" s="143"/>
      <c r="X152" s="143"/>
      <c r="Y152" s="143"/>
      <c r="Z152" s="143"/>
      <c r="AA152" s="143"/>
      <c r="AB152" s="143"/>
      <c r="AC152" s="143"/>
      <c r="AD152" s="143"/>
      <c r="AE152" s="143"/>
      <c r="AF152" s="143"/>
      <c r="AG152" s="143"/>
      <c r="AH152" s="143">
        <f t="array" ref="AH152">SUM(IF('2014-2017 Projects'!$A$6:$A$252="Health and Public Safety",'2014-2017 Projects'!$BY$6:$BY$252,0))</f>
        <v>941436.7300000001</v>
      </c>
      <c r="AI152" s="143">
        <f t="array" ref="AI152">SUM(IF('2014-2017 Projects'!$A$6:$A$252="Health and Public Safety",'2014-2017 Projects'!$BZ$6:$BZ$252,0))</f>
        <v>941436.7300000001</v>
      </c>
      <c r="AJ152" s="143">
        <f t="array" ref="AJ152">SUM(IF('2014-2017 Projects'!$A$6:$A$252="Health and Public Safety",'2014-2017 Projects'!$BX$6:$BX$252,0))</f>
        <v>2626870.7199999997</v>
      </c>
      <c r="AK152" s="143">
        <f t="shared" si="67"/>
        <v>12925543.27</v>
      </c>
      <c r="AL152" s="143">
        <f t="shared" si="68"/>
        <v>12925543.27</v>
      </c>
      <c r="AM152" s="390">
        <f t="shared" si="69"/>
        <v>6.7890537809962959E-2</v>
      </c>
      <c r="AN152" s="390">
        <f t="shared" si="70"/>
        <v>6.7890537809962959E-2</v>
      </c>
      <c r="AO152" s="143">
        <f t="array" ref="AO152">SUM(IF('2014-2017 Projects'!$A$6:$A$252="Health and Public Safety",'2014-2017 Projects'!$CG$6:$CG$252,0))</f>
        <v>10500000</v>
      </c>
      <c r="AP152" s="143">
        <f t="array" ref="AP152">SUM(IF('2014-2017 Projects'!$A$6:$A$252="Health and Public Safety",'2014-2017 Projects'!$CH$6:$CH$252,0))</f>
        <v>21200000</v>
      </c>
      <c r="AR152" s="143">
        <f t="array" ref="AR152">SUM(IF('2014-2017 Projects'!$A$6:$A$277="Health and Public Safety",'2014-2017 Projects'!$CH$6:$CH$277,0))</f>
        <v>21200000</v>
      </c>
      <c r="AS152" s="141"/>
      <c r="AT152" s="141"/>
      <c r="AU152" s="281"/>
      <c r="AV152" s="320">
        <f>SUM(AV149:AV150)</f>
        <v>929134288</v>
      </c>
      <c r="AW152" s="281"/>
    </row>
    <row r="153" spans="1:54" s="132" customFormat="1" ht="13.5" thickTop="1" x14ac:dyDescent="0.2">
      <c r="A153" s="142" t="s">
        <v>577</v>
      </c>
      <c r="B153" s="143">
        <f t="array" ref="B153">SUM(IF('2014-2017 Projects'!$A$6:$A$277="Community Services",'2014-2017 Projects'!$AG$6:$AG$277,0))</f>
        <v>48080943</v>
      </c>
      <c r="C153" s="143">
        <f t="array" ref="C153">SUM(IF('2014-2017 Projects'!$A$6:$A$277="Community Services",'2014-2017 Projects'!$AG$6:$AG$277,0))</f>
        <v>48080943</v>
      </c>
      <c r="D153" s="143">
        <f t="array" ref="D153">SUM(IF('2014-2017 Projects'!$A$6:$A$277="Community Services",'2014-2017 Projects'!$AG$6:$AG$277,0))</f>
        <v>48080943</v>
      </c>
      <c r="E153" s="143">
        <f t="array" ref="E153">SUM(IF('2014-2017 Projects'!$A$6:$A$277="Community Services",'2014-2017 Projects'!$AH$6:$AH$277,0))</f>
        <v>-8384413</v>
      </c>
      <c r="F153" s="143">
        <f t="array" ref="F153">SUM(IF('2014-2017 Projects'!$A$6:$A$277="Community Services",'2014-2017 Projects'!$AI$6:$AI$277,0))</f>
        <v>39696530</v>
      </c>
      <c r="G153" s="143">
        <f t="array" ref="G153">SUM(IF('2014-2017 Projects'!$A$6:$A$277="Community Services",'2014-2017 Projects'!$AG$6:$AG$277,0))</f>
        <v>48080943</v>
      </c>
      <c r="H153" s="143">
        <f t="array" ref="H153">SUM(IF('2014-2017 Projects'!$A$6:$A$252="Community Services",'2014-2017 Projects'!$AK$6:$AK$252,0))</f>
        <v>86530409</v>
      </c>
      <c r="I153" s="143">
        <f t="array" ref="I153">SUM(IF('2014-2017 Projects'!$A$6:$A$252="Community Services",'2014-2017 Projects'!$AM$6:$AM$252,0))</f>
        <v>163865123</v>
      </c>
      <c r="J153" s="143">
        <f t="array" ref="J153">SUM(IF('2014-2017 Projects'!$A$6:$A$252="Community Services",'2014-2017 Projects'!$AN$6:$AN$252,0))</f>
        <v>0</v>
      </c>
      <c r="K153" s="143">
        <f t="array" ref="K153">SUM(IF('2014-2017 Projects'!$A$6:$A$252="Community Services",'2014-2017 Projects'!$AP$6:$AP$252,0))</f>
        <v>0</v>
      </c>
      <c r="L153" s="143">
        <f t="array" ref="L153">SUM(IF('2014-2017 Projects'!$A$6:$A$252="Community Services",'2014-2017 Projects'!$AQ$6:$AQ$252,0))</f>
        <v>882714.55</v>
      </c>
      <c r="M153" s="143">
        <f t="array" ref="M153">SUM(IF('2014-2017 Projects'!$A$6:$A$252="Community Services",'2014-2017 Projects'!$AS$6:$AS$252,0))</f>
        <v>888534.09000000008</v>
      </c>
      <c r="N153" s="143">
        <f t="array" ref="N153">SUM(IF('2014-2017 Projects'!$A$6:$A$252="Community Services",'2014-2017 Projects'!$AT$6:$AT$252,0))</f>
        <v>3513945.48</v>
      </c>
      <c r="O153" s="143">
        <f t="array" ref="O153">SUM(IF('2014-2017 Projects'!$A$6:$A$252="Community Services",'2014-2017 Projects'!$AV$6:$AV$252,0))</f>
        <v>3531239.47</v>
      </c>
      <c r="P153" s="143">
        <f t="array" ref="P153">SUM(IF('2014-2017 Projects'!$A$6:$A$252="Community Services",'2014-2017 Projects'!$AW$6:$AW$252,0))</f>
        <v>3565542.21</v>
      </c>
      <c r="Q153" s="143">
        <f t="array" ref="Q153">SUM(IF('2014-2017 Projects'!$A$6:$A$252="Community Services",'2014-2017 Projects'!$AY$6:$AY$252,0))</f>
        <v>3702465.8200000003</v>
      </c>
      <c r="R153" s="143"/>
      <c r="S153" s="143"/>
      <c r="T153" s="143"/>
      <c r="U153" s="143"/>
      <c r="V153" s="143"/>
      <c r="W153" s="143"/>
      <c r="X153" s="143"/>
      <c r="Y153" s="143"/>
      <c r="Z153" s="143"/>
      <c r="AA153" s="143"/>
      <c r="AB153" s="143"/>
      <c r="AC153" s="143"/>
      <c r="AD153" s="143"/>
      <c r="AE153" s="143"/>
      <c r="AF153" s="143"/>
      <c r="AG153" s="143"/>
      <c r="AH153" s="143">
        <f t="array" ref="AH153">SUM(IF('2014-2017 Projects'!$A$6:$A$252="Community Services",'2014-2017 Projects'!$BY$6:$BY$252,0))</f>
        <v>7962202.2400000002</v>
      </c>
      <c r="AI153" s="143">
        <f t="array" ref="AI153">SUM(IF('2014-2017 Projects'!$A$6:$A$252="Community Services",'2014-2017 Projects'!$BZ$6:$BZ$252,0))</f>
        <v>8122239.3800000008</v>
      </c>
      <c r="AJ153" s="143">
        <f t="array" ref="AJ153">SUM(IF('2014-2017 Projects'!$A$6:$A$252="Community Services",'2014-2017 Projects'!$BX$6:$BX$252,0))</f>
        <v>29650172.609999999</v>
      </c>
      <c r="AK153" s="143">
        <f t="shared" si="67"/>
        <v>155902920.75999999</v>
      </c>
      <c r="AL153" s="143">
        <f t="shared" si="68"/>
        <v>155742883.62</v>
      </c>
      <c r="AM153" s="390">
        <f t="shared" si="69"/>
        <v>4.8589975061380207E-2</v>
      </c>
      <c r="AN153" s="390">
        <f t="shared" si="70"/>
        <v>4.9566614489405414E-2</v>
      </c>
      <c r="AO153" s="143">
        <f t="array" ref="AO153">SUM(IF('2014-2017 Projects'!$A$6:$A$252="Community Services",'2014-2017 Projects'!$CG$6:$CG$252,0))</f>
        <v>75960100</v>
      </c>
      <c r="AP153" s="143">
        <f t="array" ref="AP153">SUM(IF('2014-2017 Projects'!$A$6:$A$252="Community Services",'2014-2017 Projects'!$CH$6:$CH$252,0))</f>
        <v>67662415</v>
      </c>
      <c r="AR153" s="143">
        <f t="array" ref="AR153">SUM(IF('2014-2017 Projects'!$A$6:$A$277="Community Services",'2014-2017 Projects'!$CH$6:$CH$277,0))</f>
        <v>67662415</v>
      </c>
      <c r="AS153" s="141"/>
      <c r="AT153" s="141"/>
      <c r="AU153" s="281"/>
      <c r="AV153" s="281"/>
      <c r="AW153" s="281"/>
    </row>
    <row r="154" spans="1:54" s="132" customFormat="1" ht="13.5" thickBot="1" x14ac:dyDescent="0.25">
      <c r="A154" s="145" t="s">
        <v>315</v>
      </c>
      <c r="B154" s="146">
        <f>SUM(B144:B153)</f>
        <v>67430943</v>
      </c>
      <c r="C154" s="146">
        <f>SUM(C144:C153)</f>
        <v>67430943</v>
      </c>
      <c r="D154" s="146">
        <f>SUM(D144:D153)</f>
        <v>204427274.88</v>
      </c>
      <c r="E154" s="146">
        <f t="shared" ref="E154:AP154" si="71">SUM(E144:E153)</f>
        <v>12999892</v>
      </c>
      <c r="F154" s="146">
        <f t="shared" si="71"/>
        <v>217427166.88</v>
      </c>
      <c r="G154" s="146">
        <f t="shared" si="71"/>
        <v>62330943</v>
      </c>
      <c r="H154" s="146">
        <f t="shared" si="71"/>
        <v>932007423</v>
      </c>
      <c r="I154" s="146">
        <f t="shared" si="71"/>
        <v>1049548556</v>
      </c>
      <c r="J154" s="146">
        <f t="shared" si="71"/>
        <v>4279296.1500000004</v>
      </c>
      <c r="K154" s="146">
        <f t="shared" si="71"/>
        <v>4585291.8000000007</v>
      </c>
      <c r="L154" s="146">
        <f t="shared" si="71"/>
        <v>36998451.879999988</v>
      </c>
      <c r="M154" s="146">
        <f t="shared" si="71"/>
        <v>40732237.589999996</v>
      </c>
      <c r="N154" s="146">
        <f t="shared" si="71"/>
        <v>63771348.910000004</v>
      </c>
      <c r="O154" s="146">
        <f t="shared" si="71"/>
        <v>69010776.280000001</v>
      </c>
      <c r="P154" s="146">
        <f t="shared" si="71"/>
        <v>82385306.629999995</v>
      </c>
      <c r="Q154" s="146">
        <f t="shared" si="71"/>
        <v>89033634.960000008</v>
      </c>
      <c r="R154" s="146">
        <f t="shared" si="71"/>
        <v>0</v>
      </c>
      <c r="S154" s="146">
        <f t="shared" si="71"/>
        <v>0</v>
      </c>
      <c r="T154" s="146">
        <f t="shared" si="71"/>
        <v>0</v>
      </c>
      <c r="U154" s="146">
        <f t="shared" si="71"/>
        <v>0</v>
      </c>
      <c r="V154" s="146">
        <f t="shared" si="71"/>
        <v>0</v>
      </c>
      <c r="W154" s="146">
        <f t="shared" si="71"/>
        <v>0</v>
      </c>
      <c r="X154" s="146">
        <f t="shared" si="71"/>
        <v>0</v>
      </c>
      <c r="Y154" s="146">
        <f t="shared" si="71"/>
        <v>0</v>
      </c>
      <c r="Z154" s="146">
        <f t="shared" si="71"/>
        <v>0</v>
      </c>
      <c r="AA154" s="146">
        <f t="shared" si="71"/>
        <v>0</v>
      </c>
      <c r="AB154" s="146">
        <f t="shared" si="71"/>
        <v>0</v>
      </c>
      <c r="AC154" s="146">
        <f t="shared" si="71"/>
        <v>0</v>
      </c>
      <c r="AD154" s="146">
        <f t="shared" si="71"/>
        <v>0</v>
      </c>
      <c r="AE154" s="146">
        <f t="shared" si="71"/>
        <v>0</v>
      </c>
      <c r="AF154" s="146">
        <f t="shared" si="71"/>
        <v>0</v>
      </c>
      <c r="AG154" s="146">
        <f t="shared" si="71"/>
        <v>0</v>
      </c>
      <c r="AH154" s="146">
        <f t="shared" si="71"/>
        <v>187434403.56999999</v>
      </c>
      <c r="AI154" s="146">
        <f t="shared" si="71"/>
        <v>203361940.62999997</v>
      </c>
      <c r="AJ154" s="146">
        <f t="shared" si="71"/>
        <v>87463038.989999995</v>
      </c>
      <c r="AK154" s="146">
        <f t="shared" si="71"/>
        <v>862114152.43000007</v>
      </c>
      <c r="AL154" s="146">
        <f t="shared" si="71"/>
        <v>846186615.37</v>
      </c>
      <c r="AM154" s="392">
        <f t="shared" si="69"/>
        <v>0.1785857381237729</v>
      </c>
      <c r="AN154" s="392">
        <f t="shared" si="70"/>
        <v>0.19376134573996781</v>
      </c>
      <c r="AO154" s="146">
        <f t="shared" si="71"/>
        <v>1372127261</v>
      </c>
      <c r="AP154" s="146">
        <f t="shared" si="71"/>
        <v>1375226151</v>
      </c>
      <c r="AR154" s="146">
        <f>SUM(AR144:AR153)</f>
        <v>1181461466</v>
      </c>
      <c r="AS154" s="141"/>
      <c r="AT154" s="141"/>
      <c r="AU154" s="281"/>
      <c r="AV154" s="281">
        <f>+AV147/AV152</f>
        <v>0.42941167186803897</v>
      </c>
      <c r="AW154" s="281"/>
    </row>
    <row r="155" spans="1:54" s="132" customFormat="1" ht="13.5" thickTop="1" x14ac:dyDescent="0.2">
      <c r="A155" s="142" t="s">
        <v>253</v>
      </c>
      <c r="B155" s="143">
        <f t="array" ref="B155">SUM(IF('2014-2017 Projects'!$A$6:$A$277="Asset Replacement",'2014-2017 Projects'!$AG$6:$AG$277,0))</f>
        <v>0</v>
      </c>
      <c r="C155" s="143">
        <f t="array" ref="C155">SUM(IF('2014-2017 Projects'!$A$6:$A$277="Asset Replacement",'2014-2017 Projects'!$AG$6:$AG$277,0))</f>
        <v>0</v>
      </c>
      <c r="D155" s="143">
        <f t="array" ref="D155">SUM(IF('2014-2017 Projects'!$A$6:$A$277="Asset Replacement",'2014-2017 Projects'!$AG$6:$AG$277,0))</f>
        <v>0</v>
      </c>
      <c r="E155" s="143">
        <f t="array" ref="E155">SUM(IF('2014-2017 Projects'!$A$6:$A$277="Asset Replacement",'2014-2017 Projects'!$AH$6:$AH$277,0))</f>
        <v>0</v>
      </c>
      <c r="F155" s="143">
        <f t="array" ref="F155">SUM(IF('2014-2017 Projects'!$A$6:$A$277="Asset Replacement",'2014-2017 Projects'!$AI$6:$AI$277,0))</f>
        <v>0</v>
      </c>
      <c r="G155" s="143"/>
      <c r="H155" s="143">
        <f t="array" ref="H155">SUM(IF('2014-2017 Projects'!$A$6:$A$277="Asset Replacement",'2014-2017 Projects'!$AK$6:$AK$277,0))</f>
        <v>10000000</v>
      </c>
      <c r="I155" s="143">
        <f t="array" ref="I155">SUM(IF('2014-2017 Projects'!$A$6:$A$277="Asset Replacement",'2014-2017 Projects'!$AM$6:$AM$277,0))</f>
        <v>6936150</v>
      </c>
      <c r="J155" s="143">
        <f t="array" ref="J155">SUM(IF('2014-2017 Projects'!$A$6:$A$277="Asset Replacement",'2014-2017 Projects'!$AN$6:$AN$277,0))</f>
        <v>0</v>
      </c>
      <c r="K155" s="143">
        <f t="array" ref="K155">SUM(IF('2014-2017 Projects'!$A$6:$A$277="Asset Replacement",'2014-2017 Projects'!$AP$6:$AP$277,0))</f>
        <v>0</v>
      </c>
      <c r="L155" s="143"/>
      <c r="M155" s="143"/>
      <c r="N155" s="143"/>
      <c r="O155" s="143"/>
      <c r="P155" s="143"/>
      <c r="Q155" s="143"/>
      <c r="R155" s="143"/>
      <c r="S155" s="143"/>
      <c r="T155" s="143"/>
      <c r="U155" s="143"/>
      <c r="V155" s="143"/>
      <c r="W155" s="143"/>
      <c r="X155" s="143"/>
      <c r="Y155" s="143"/>
      <c r="Z155" s="143"/>
      <c r="AA155" s="143"/>
      <c r="AB155" s="143"/>
      <c r="AC155" s="143"/>
      <c r="AD155" s="143"/>
      <c r="AE155" s="143"/>
      <c r="AF155" s="143"/>
      <c r="AG155" s="143"/>
      <c r="AH155" s="143"/>
      <c r="AI155" s="143"/>
      <c r="AJ155" s="143"/>
      <c r="AK155" s="143">
        <f t="shared" si="67"/>
        <v>6936150</v>
      </c>
      <c r="AL155" s="143">
        <f t="shared" si="68"/>
        <v>6936150</v>
      </c>
      <c r="AM155" s="391">
        <f t="shared" si="69"/>
        <v>0</v>
      </c>
      <c r="AN155" s="391">
        <f t="shared" si="70"/>
        <v>0</v>
      </c>
      <c r="AO155" s="143">
        <f t="array" ref="AO155">SUM(IF('2014-2017 Projects'!$A$6:$A$277="Asset Replacement",'2014-2017 Projects'!$CG$6:$CG$277,0))</f>
        <v>10000000</v>
      </c>
      <c r="AP155" s="143">
        <f t="array" ref="AP155">SUM(IF('2014-2017 Projects'!$A$6:$A$277="Asset Replacement",'2014-2017 Projects'!$CH$6:$CH$277,0))</f>
        <v>10000000</v>
      </c>
      <c r="AR155" s="143">
        <f t="array" ref="AR155">SUM(IF('2014-2017 Projects'!$A$6:$A$277="Asset Replacement",'2014-2017 Projects'!$CH$6:$CH$277,0))</f>
        <v>10000000</v>
      </c>
      <c r="AS155" s="141"/>
      <c r="AT155" s="141"/>
      <c r="AU155" s="281"/>
      <c r="AV155" s="281"/>
      <c r="AW155" s="281"/>
    </row>
    <row r="156" spans="1:54" s="132" customFormat="1" ht="13.5" thickBot="1" x14ac:dyDescent="0.25">
      <c r="A156" s="164" t="s">
        <v>316</v>
      </c>
      <c r="B156" s="146">
        <f>B154+B155</f>
        <v>67430943</v>
      </c>
      <c r="C156" s="146">
        <f>C154+C155</f>
        <v>67430943</v>
      </c>
      <c r="D156" s="146">
        <f>D154+D155</f>
        <v>204427274.88</v>
      </c>
      <c r="E156" s="146">
        <f t="shared" ref="E156:AP156" si="72">E154+E155</f>
        <v>12999892</v>
      </c>
      <c r="F156" s="146">
        <f t="shared" si="72"/>
        <v>217427166.88</v>
      </c>
      <c r="G156" s="146">
        <f t="shared" si="72"/>
        <v>62330943</v>
      </c>
      <c r="H156" s="146">
        <f t="shared" si="72"/>
        <v>942007423</v>
      </c>
      <c r="I156" s="146">
        <f t="shared" si="72"/>
        <v>1056484706</v>
      </c>
      <c r="J156" s="146">
        <f t="shared" si="72"/>
        <v>4279296.1500000004</v>
      </c>
      <c r="K156" s="146">
        <f t="shared" si="72"/>
        <v>4585291.8000000007</v>
      </c>
      <c r="L156" s="146">
        <f t="shared" si="72"/>
        <v>36998451.879999988</v>
      </c>
      <c r="M156" s="146">
        <f t="shared" si="72"/>
        <v>40732237.589999996</v>
      </c>
      <c r="N156" s="146">
        <f t="shared" si="72"/>
        <v>63771348.910000004</v>
      </c>
      <c r="O156" s="146">
        <f t="shared" si="72"/>
        <v>69010776.280000001</v>
      </c>
      <c r="P156" s="146">
        <f t="shared" si="72"/>
        <v>82385306.629999995</v>
      </c>
      <c r="Q156" s="146">
        <f t="shared" si="72"/>
        <v>89033634.960000008</v>
      </c>
      <c r="R156" s="146">
        <f t="shared" si="72"/>
        <v>0</v>
      </c>
      <c r="S156" s="146">
        <f t="shared" si="72"/>
        <v>0</v>
      </c>
      <c r="T156" s="146">
        <f t="shared" si="72"/>
        <v>0</v>
      </c>
      <c r="U156" s="146">
        <f t="shared" si="72"/>
        <v>0</v>
      </c>
      <c r="V156" s="146">
        <f t="shared" si="72"/>
        <v>0</v>
      </c>
      <c r="W156" s="146">
        <f t="shared" si="72"/>
        <v>0</v>
      </c>
      <c r="X156" s="146">
        <f t="shared" si="72"/>
        <v>0</v>
      </c>
      <c r="Y156" s="146">
        <f t="shared" si="72"/>
        <v>0</v>
      </c>
      <c r="Z156" s="146">
        <f t="shared" si="72"/>
        <v>0</v>
      </c>
      <c r="AA156" s="146">
        <f t="shared" si="72"/>
        <v>0</v>
      </c>
      <c r="AB156" s="146">
        <f t="shared" si="72"/>
        <v>0</v>
      </c>
      <c r="AC156" s="146">
        <f t="shared" si="72"/>
        <v>0</v>
      </c>
      <c r="AD156" s="146">
        <f t="shared" si="72"/>
        <v>0</v>
      </c>
      <c r="AE156" s="146">
        <f t="shared" si="72"/>
        <v>0</v>
      </c>
      <c r="AF156" s="146">
        <f t="shared" si="72"/>
        <v>0</v>
      </c>
      <c r="AG156" s="146">
        <f t="shared" si="72"/>
        <v>0</v>
      </c>
      <c r="AH156" s="146">
        <f t="shared" si="72"/>
        <v>187434403.56999999</v>
      </c>
      <c r="AI156" s="146">
        <f t="shared" si="72"/>
        <v>203361940.62999997</v>
      </c>
      <c r="AJ156" s="146">
        <f t="shared" si="72"/>
        <v>87463038.989999995</v>
      </c>
      <c r="AK156" s="146">
        <f t="shared" si="72"/>
        <v>869050302.43000007</v>
      </c>
      <c r="AL156" s="146">
        <f t="shared" si="72"/>
        <v>853122765.37</v>
      </c>
      <c r="AM156" s="392">
        <f t="shared" si="69"/>
        <v>0.17741326732466678</v>
      </c>
      <c r="AN156" s="392">
        <f t="shared" si="70"/>
        <v>0.19248924236675127</v>
      </c>
      <c r="AO156" s="146">
        <f t="shared" si="72"/>
        <v>1382127261</v>
      </c>
      <c r="AP156" s="146">
        <f t="shared" si="72"/>
        <v>1385226151</v>
      </c>
      <c r="AR156" s="146">
        <f>AR154+AR155</f>
        <v>1191461466</v>
      </c>
      <c r="AS156" s="141"/>
      <c r="AT156" s="141">
        <v>942007423</v>
      </c>
      <c r="AU156" s="281"/>
      <c r="AV156" s="281" t="e">
        <v>#REF!</v>
      </c>
      <c r="AW156" s="281"/>
      <c r="AX156" s="132">
        <v>1024127261</v>
      </c>
      <c r="AY156" s="132" t="e">
        <v>#REF!</v>
      </c>
      <c r="AZ156" s="132" t="e">
        <v>#REF!</v>
      </c>
      <c r="BA156" s="132" t="e">
        <v>#REF!</v>
      </c>
      <c r="BB156" s="132">
        <v>1069226151</v>
      </c>
    </row>
    <row r="157" spans="1:54" ht="13.5" thickTop="1" x14ac:dyDescent="0.2"/>
    <row r="158" spans="1:54" hidden="1" x14ac:dyDescent="0.2">
      <c r="H158" s="304" t="s">
        <v>440</v>
      </c>
      <c r="I158" s="304"/>
      <c r="J158" s="304"/>
      <c r="K158" s="304"/>
      <c r="L158" s="304"/>
      <c r="M158" s="304"/>
      <c r="N158" s="304"/>
      <c r="O158" s="304"/>
      <c r="P158" s="304"/>
      <c r="Q158" s="304"/>
      <c r="R158" s="304"/>
      <c r="S158" s="304"/>
      <c r="T158" s="304"/>
      <c r="U158" s="304"/>
      <c r="V158" s="304"/>
      <c r="W158" s="304"/>
      <c r="X158" s="304"/>
      <c r="Y158" s="304"/>
      <c r="Z158" s="304"/>
      <c r="AA158" s="304"/>
      <c r="AB158" s="304"/>
      <c r="AC158" s="304"/>
      <c r="AD158" s="304"/>
      <c r="AE158" s="304"/>
      <c r="AF158" s="304"/>
      <c r="AG158" s="304"/>
      <c r="AH158" s="304"/>
      <c r="AI158" s="304"/>
      <c r="AJ158" s="304"/>
      <c r="AK158" s="304"/>
      <c r="AL158" s="304"/>
      <c r="AM158" s="304"/>
      <c r="AN158" s="304"/>
    </row>
    <row r="159" spans="1:54" ht="22.5" x14ac:dyDescent="0.2">
      <c r="A159" s="170" t="s">
        <v>317</v>
      </c>
      <c r="B159" s="300" t="s">
        <v>318</v>
      </c>
      <c r="C159" s="300" t="s">
        <v>318</v>
      </c>
      <c r="D159" s="300" t="s">
        <v>318</v>
      </c>
      <c r="E159" s="300" t="s">
        <v>318</v>
      </c>
      <c r="F159" s="300" t="s">
        <v>318</v>
      </c>
      <c r="G159" s="171"/>
      <c r="H159" s="172" t="s">
        <v>319</v>
      </c>
      <c r="I159" s="172"/>
      <c r="J159" s="172"/>
      <c r="K159" s="172"/>
      <c r="L159" s="172"/>
      <c r="M159" s="172"/>
      <c r="N159" s="172"/>
      <c r="O159" s="172"/>
      <c r="P159" s="172"/>
      <c r="Q159" s="172"/>
      <c r="R159" s="172"/>
      <c r="S159" s="172"/>
      <c r="T159" s="172"/>
      <c r="U159" s="172"/>
      <c r="V159" s="172"/>
      <c r="W159" s="172"/>
      <c r="X159" s="172"/>
      <c r="Y159" s="172"/>
      <c r="Z159" s="172"/>
      <c r="AA159" s="172"/>
      <c r="AB159" s="172"/>
      <c r="AC159" s="172"/>
      <c r="AD159" s="172"/>
      <c r="AE159" s="172"/>
      <c r="AF159" s="172"/>
      <c r="AG159" s="172"/>
      <c r="AH159" s="172"/>
      <c r="AI159" s="172"/>
      <c r="AJ159" s="172"/>
      <c r="AK159" s="172"/>
      <c r="AL159" s="172"/>
      <c r="AM159" s="172"/>
      <c r="AN159" s="172"/>
      <c r="AO159" s="172" t="s">
        <v>319</v>
      </c>
      <c r="AP159" s="172" t="s">
        <v>319</v>
      </c>
    </row>
    <row r="160" spans="1:54" ht="13.5" x14ac:dyDescent="0.25">
      <c r="A160" s="173" t="s">
        <v>320</v>
      </c>
      <c r="B160" s="174"/>
      <c r="C160" s="174"/>
      <c r="D160" s="174"/>
      <c r="E160" s="174"/>
      <c r="F160" s="174"/>
      <c r="G160" s="174"/>
      <c r="H160" s="174"/>
      <c r="I160" s="174"/>
      <c r="J160" s="174"/>
      <c r="K160" s="174"/>
      <c r="L160" s="174"/>
      <c r="M160" s="174"/>
      <c r="N160" s="174"/>
      <c r="O160" s="174"/>
      <c r="P160" s="174"/>
      <c r="Q160" s="174"/>
      <c r="R160" s="174"/>
      <c r="S160" s="174"/>
      <c r="T160" s="174"/>
      <c r="U160" s="174"/>
      <c r="V160" s="174"/>
      <c r="W160" s="174"/>
      <c r="X160" s="174"/>
      <c r="Y160" s="174"/>
      <c r="Z160" s="174"/>
      <c r="AA160" s="174"/>
      <c r="AB160" s="174"/>
      <c r="AC160" s="174"/>
      <c r="AD160" s="174"/>
      <c r="AE160" s="174"/>
      <c r="AF160" s="174"/>
      <c r="AG160" s="174"/>
      <c r="AH160" s="174"/>
      <c r="AI160" s="174"/>
      <c r="AJ160" s="174"/>
      <c r="AK160" s="174"/>
      <c r="AL160" s="174"/>
      <c r="AM160" s="174"/>
      <c r="AN160" s="174"/>
      <c r="AO160" s="174"/>
      <c r="AP160" s="174"/>
    </row>
    <row r="161" spans="1:42" ht="13.5" x14ac:dyDescent="0.25">
      <c r="A161" s="176" t="s">
        <v>321</v>
      </c>
      <c r="B161" s="177" t="e">
        <f>SUM(B162:B164)</f>
        <v>#REF!</v>
      </c>
      <c r="C161" s="177" t="e">
        <f>SUM(C162:C164)</f>
        <v>#REF!</v>
      </c>
      <c r="D161" s="177" t="e">
        <f>SUM(D162:D164)</f>
        <v>#REF!</v>
      </c>
      <c r="E161" s="177" t="e">
        <f>SUM(E162:E164)</f>
        <v>#REF!</v>
      </c>
      <c r="F161" s="177" t="e">
        <f>SUM(F162:F164)</f>
        <v>#REF!</v>
      </c>
      <c r="G161" s="177"/>
      <c r="H161" s="177">
        <f>SUM(H162:H164)</f>
        <v>34950000</v>
      </c>
      <c r="I161" s="177"/>
      <c r="J161" s="177"/>
      <c r="K161" s="177"/>
      <c r="L161" s="177"/>
      <c r="M161" s="177"/>
      <c r="N161" s="177"/>
      <c r="O161" s="177"/>
      <c r="P161" s="177"/>
      <c r="Q161" s="177"/>
      <c r="R161" s="177"/>
      <c r="S161" s="177"/>
      <c r="T161" s="177"/>
      <c r="U161" s="177"/>
      <c r="V161" s="177"/>
      <c r="W161" s="177"/>
      <c r="X161" s="177"/>
      <c r="Y161" s="177"/>
      <c r="Z161" s="177"/>
      <c r="AA161" s="177"/>
      <c r="AB161" s="177"/>
      <c r="AC161" s="177"/>
      <c r="AD161" s="177"/>
      <c r="AE161" s="177"/>
      <c r="AF161" s="177"/>
      <c r="AG161" s="177"/>
      <c r="AH161" s="177"/>
      <c r="AI161" s="177"/>
      <c r="AJ161" s="177"/>
      <c r="AK161" s="177"/>
      <c r="AL161" s="177"/>
      <c r="AM161" s="177"/>
      <c r="AN161" s="177"/>
      <c r="AO161" s="177">
        <f>SUM(AO162:AO164)</f>
        <v>53478000</v>
      </c>
      <c r="AP161" s="177">
        <f>SUM(AP162:AP164)</f>
        <v>50944000</v>
      </c>
    </row>
    <row r="162" spans="1:42" ht="13.5" x14ac:dyDescent="0.25">
      <c r="A162" s="178" t="s">
        <v>29</v>
      </c>
      <c r="B162" s="179" t="e">
        <f t="array" ref="B162">SUM(IF('[5]2013-2016 Projects'!$D$4:$D$202="Executive and council",'[5]2013-2016 Projects'!$V$4:$V$202,0))</f>
        <v>#REF!</v>
      </c>
      <c r="C162" s="179" t="e">
        <f t="array" ref="C162">SUM(IF('[5]2013-2016 Projects'!$D$4:$D$202="Executive and council",'[5]2013-2016 Projects'!$V$4:$V$202,0))</f>
        <v>#REF!</v>
      </c>
      <c r="D162" s="179" t="e">
        <f t="array" ref="D162">SUM(IF('[5]2013-2016 Projects'!$D$4:$D$202="Executive and council",'[5]2013-2016 Projects'!$V$4:$V$202,0))</f>
        <v>#REF!</v>
      </c>
      <c r="E162" s="179" t="e">
        <f t="array" ref="E162">SUM(IF('[5]2013-2016 Projects'!$D$4:$D$202="Executive and council",'[5]2013-2016 Projects'!$V$4:$V$202,0))</f>
        <v>#REF!</v>
      </c>
      <c r="F162" s="179" t="e">
        <f t="array" ref="F162">SUM(IF('[5]2013-2016 Projects'!$D$4:$D$202="Executive and council",'[5]2013-2016 Projects'!$V$4:$V$202,0))</f>
        <v>#REF!</v>
      </c>
      <c r="G162" s="179"/>
      <c r="H162" s="179">
        <f t="array" ref="H162">SUM(IF('2014-2017 Projects'!$I$5:$I$256="Executive and council",'2014-2017 Projects'!$AK$5:$AK$256,0))</f>
        <v>7500000</v>
      </c>
      <c r="I162" s="179"/>
      <c r="J162" s="179"/>
      <c r="K162" s="179"/>
      <c r="L162" s="179"/>
      <c r="M162" s="179"/>
      <c r="N162" s="179"/>
      <c r="O162" s="179"/>
      <c r="P162" s="179"/>
      <c r="Q162" s="179"/>
      <c r="R162" s="179"/>
      <c r="S162" s="179"/>
      <c r="T162" s="179"/>
      <c r="U162" s="179"/>
      <c r="V162" s="179"/>
      <c r="W162" s="179"/>
      <c r="X162" s="179"/>
      <c r="Y162" s="179"/>
      <c r="Z162" s="179"/>
      <c r="AA162" s="179"/>
      <c r="AB162" s="179"/>
      <c r="AC162" s="179"/>
      <c r="AD162" s="179"/>
      <c r="AE162" s="179"/>
      <c r="AF162" s="179"/>
      <c r="AG162" s="179"/>
      <c r="AH162" s="179"/>
      <c r="AI162" s="179"/>
      <c r="AJ162" s="179"/>
      <c r="AK162" s="179"/>
      <c r="AL162" s="179"/>
      <c r="AM162" s="179"/>
      <c r="AN162" s="179"/>
      <c r="AO162" s="179">
        <f t="array" ref="AO162">SUM(IF('2014-2017 Projects'!$I$5:$I$256="Executive and council",'2014-2017 Projects'!$CG$5:$CG$256,0))</f>
        <v>19378000</v>
      </c>
      <c r="AP162" s="179">
        <f t="array" ref="AP162">SUM(IF('2014-2017 Projects'!$I$5:$I$140="Executive and council",'2014-2017 Projects'!$CH$5:$CH$140,0))</f>
        <v>20244000</v>
      </c>
    </row>
    <row r="163" spans="1:42" ht="13.5" x14ac:dyDescent="0.25">
      <c r="A163" s="178" t="s">
        <v>322</v>
      </c>
      <c r="B163" s="179" t="e">
        <f t="array" ref="B163">SUM(IF('[5]2013-2016 Projects'!$D$4:$D$202="Budget and treasury office",'[5]2013-2016 Projects'!$V$4:$V$202,0))</f>
        <v>#REF!</v>
      </c>
      <c r="C163" s="179" t="e">
        <f t="array" ref="C163">SUM(IF('[5]2013-2016 Projects'!$D$4:$D$202="Budget and treasury office",'[5]2013-2016 Projects'!$V$4:$V$202,0))</f>
        <v>#REF!</v>
      </c>
      <c r="D163" s="179" t="e">
        <f t="array" ref="D163">SUM(IF('[5]2013-2016 Projects'!$D$4:$D$202="Budget and treasury office",'[5]2013-2016 Projects'!$V$4:$V$202,0))</f>
        <v>#REF!</v>
      </c>
      <c r="E163" s="179" t="e">
        <f t="array" ref="E163">SUM(IF('[5]2013-2016 Projects'!$D$4:$D$202="Budget and treasury office",'[5]2013-2016 Projects'!$V$4:$V$202,0))</f>
        <v>#REF!</v>
      </c>
      <c r="F163" s="179" t="e">
        <f t="array" ref="F163">SUM(IF('[5]2013-2016 Projects'!$D$4:$D$202="Budget and treasury office",'[5]2013-2016 Projects'!$V$4:$V$202,0))</f>
        <v>#REF!</v>
      </c>
      <c r="G163" s="179"/>
      <c r="H163" s="179">
        <f t="array" ref="H163">SUM(IF('2014-2017 Projects'!$I$5:$I$256="Budget and treasury",'2014-2017 Projects'!$AK$5:$AK$256,0))</f>
        <v>12350000</v>
      </c>
      <c r="I163" s="179"/>
      <c r="J163" s="179"/>
      <c r="K163" s="179"/>
      <c r="L163" s="179"/>
      <c r="M163" s="179"/>
      <c r="N163" s="179"/>
      <c r="O163" s="179"/>
      <c r="P163" s="179"/>
      <c r="Q163" s="179"/>
      <c r="R163" s="179"/>
      <c r="S163" s="179"/>
      <c r="T163" s="179"/>
      <c r="U163" s="179"/>
      <c r="V163" s="179"/>
      <c r="W163" s="179"/>
      <c r="X163" s="179"/>
      <c r="Y163" s="179"/>
      <c r="Z163" s="179"/>
      <c r="AA163" s="179"/>
      <c r="AB163" s="179"/>
      <c r="AC163" s="179"/>
      <c r="AD163" s="179"/>
      <c r="AE163" s="179"/>
      <c r="AF163" s="179"/>
      <c r="AG163" s="179"/>
      <c r="AH163" s="179"/>
      <c r="AI163" s="179"/>
      <c r="AJ163" s="179"/>
      <c r="AK163" s="179"/>
      <c r="AL163" s="179"/>
      <c r="AM163" s="179"/>
      <c r="AN163" s="179"/>
      <c r="AO163" s="179">
        <f t="array" ref="AO163">SUM(IF('2014-2017 Projects'!$I$5:$I$256="Budget and treasury",'2014-2017 Projects'!$CG$5:$CG$256,0))</f>
        <v>12000000</v>
      </c>
      <c r="AP163" s="179">
        <f t="array" ref="AP163">SUM(IF('2014-2017 Projects'!$I$5:$I$256="Budget and treasury",'2014-2017 Projects'!$CH$5:$CH$256,0))</f>
        <v>10500000</v>
      </c>
    </row>
    <row r="164" spans="1:42" ht="13.5" x14ac:dyDescent="0.25">
      <c r="A164" s="178" t="s">
        <v>30</v>
      </c>
      <c r="B164" s="179" t="e">
        <f t="array" ref="B164">SUM(IF('[5]2013-2016 Projects'!$D$4:$D$202="Corporate services",'[5]2013-2016 Projects'!$V$4:$V$202,0))</f>
        <v>#REF!</v>
      </c>
      <c r="C164" s="179" t="e">
        <f t="array" ref="C164">SUM(IF('[5]2013-2016 Projects'!$D$4:$D$202="Corporate services",'[5]2013-2016 Projects'!$V$4:$V$202,0))</f>
        <v>#REF!</v>
      </c>
      <c r="D164" s="179" t="e">
        <f t="array" ref="D164">SUM(IF('[5]2013-2016 Projects'!$D$4:$D$202="Corporate services",'[5]2013-2016 Projects'!$V$4:$V$202,0))</f>
        <v>#REF!</v>
      </c>
      <c r="E164" s="179" t="e">
        <f t="array" ref="E164">SUM(IF('[5]2013-2016 Projects'!$D$4:$D$202="Corporate services",'[5]2013-2016 Projects'!$V$4:$V$202,0))</f>
        <v>#REF!</v>
      </c>
      <c r="F164" s="179" t="e">
        <f t="array" ref="F164">SUM(IF('[5]2013-2016 Projects'!$D$4:$D$202="Corporate services",'[5]2013-2016 Projects'!$V$4:$V$202,0))</f>
        <v>#REF!</v>
      </c>
      <c r="G164" s="179"/>
      <c r="H164" s="179">
        <f t="array" ref="H164">SUM(IF('2014-2017 Projects'!$I$5:$I$256="Corporate Services",'2014-2017 Projects'!$AK$5:$AK$256,0))</f>
        <v>15100000</v>
      </c>
      <c r="I164" s="179"/>
      <c r="J164" s="179"/>
      <c r="K164" s="179"/>
      <c r="L164" s="179"/>
      <c r="M164" s="179"/>
      <c r="N164" s="179"/>
      <c r="O164" s="179"/>
      <c r="P164" s="179"/>
      <c r="Q164" s="179"/>
      <c r="R164" s="179"/>
      <c r="S164" s="179"/>
      <c r="T164" s="179"/>
      <c r="U164" s="179"/>
      <c r="V164" s="179"/>
      <c r="W164" s="179"/>
      <c r="X164" s="179"/>
      <c r="Y164" s="179"/>
      <c r="Z164" s="179"/>
      <c r="AA164" s="179"/>
      <c r="AB164" s="179"/>
      <c r="AC164" s="179"/>
      <c r="AD164" s="179"/>
      <c r="AE164" s="179"/>
      <c r="AF164" s="179"/>
      <c r="AG164" s="179"/>
      <c r="AH164" s="179"/>
      <c r="AI164" s="179"/>
      <c r="AJ164" s="179"/>
      <c r="AK164" s="179"/>
      <c r="AL164" s="179"/>
      <c r="AM164" s="179"/>
      <c r="AN164" s="179"/>
      <c r="AO164" s="179">
        <f t="array" ref="AO164">SUM(IF('2014-2017 Projects'!$I$5:$I$256="Corporate Services",'2014-2017 Projects'!$CG$5:$CG$256,0))</f>
        <v>22100000</v>
      </c>
      <c r="AP164" s="179">
        <f t="array" ref="AP164">SUM(IF('2014-2017 Projects'!$I$5:$I$256="Corporate Services",'2014-2017 Projects'!$CH$5:$CH$256,0))</f>
        <v>20200000</v>
      </c>
    </row>
    <row r="165" spans="1:42" ht="13.5" x14ac:dyDescent="0.25">
      <c r="A165" s="176" t="s">
        <v>323</v>
      </c>
      <c r="B165" s="177" t="e">
        <f>SUM(B166:B170)</f>
        <v>#REF!</v>
      </c>
      <c r="C165" s="177" t="e">
        <f>SUM(C166:C170)</f>
        <v>#REF!</v>
      </c>
      <c r="D165" s="177" t="e">
        <f>SUM(D166:D170)</f>
        <v>#REF!</v>
      </c>
      <c r="E165" s="177" t="e">
        <f>SUM(E166:E170)</f>
        <v>#REF!</v>
      </c>
      <c r="F165" s="177" t="e">
        <f>SUM(F166:F170)</f>
        <v>#REF!</v>
      </c>
      <c r="G165" s="177"/>
      <c r="H165" s="177">
        <f>SUM(H166:H170)</f>
        <v>140466517</v>
      </c>
      <c r="I165" s="177"/>
      <c r="J165" s="177"/>
      <c r="K165" s="177"/>
      <c r="L165" s="177"/>
      <c r="M165" s="177"/>
      <c r="N165" s="177"/>
      <c r="O165" s="177"/>
      <c r="P165" s="177"/>
      <c r="Q165" s="177"/>
      <c r="R165" s="177"/>
      <c r="S165" s="177"/>
      <c r="T165" s="177"/>
      <c r="U165" s="177"/>
      <c r="V165" s="177"/>
      <c r="W165" s="177"/>
      <c r="X165" s="177"/>
      <c r="Y165" s="177"/>
      <c r="Z165" s="177"/>
      <c r="AA165" s="177"/>
      <c r="AB165" s="177"/>
      <c r="AC165" s="177"/>
      <c r="AD165" s="177"/>
      <c r="AE165" s="177"/>
      <c r="AF165" s="177"/>
      <c r="AG165" s="177"/>
      <c r="AH165" s="177"/>
      <c r="AI165" s="177"/>
      <c r="AJ165" s="177"/>
      <c r="AK165" s="177"/>
      <c r="AL165" s="177"/>
      <c r="AM165" s="177"/>
      <c r="AN165" s="177"/>
      <c r="AO165" s="177">
        <f>SUM(AO166:AO170)</f>
        <v>204718500</v>
      </c>
      <c r="AP165" s="177">
        <f>SUM(AP166:AP170)</f>
        <v>317214685</v>
      </c>
    </row>
    <row r="166" spans="1:42" ht="13.5" x14ac:dyDescent="0.25">
      <c r="A166" s="178" t="s">
        <v>31</v>
      </c>
      <c r="B166" s="179" t="e">
        <f t="array" ref="B166">SUM(IF('[5]2013-2016 Projects'!$D$4:$D$202="Community and social services",'[5]2013-2016 Projects'!$V$4:$V$202,0))</f>
        <v>#REF!</v>
      </c>
      <c r="C166" s="179" t="e">
        <f t="array" ref="C166">SUM(IF('[5]2013-2016 Projects'!$D$4:$D$202="Community and social services",'[5]2013-2016 Projects'!$V$4:$V$202,0))</f>
        <v>#REF!</v>
      </c>
      <c r="D166" s="179" t="e">
        <f t="array" ref="D166">SUM(IF('[5]2013-2016 Projects'!$D$4:$D$202="Community and social services",'[5]2013-2016 Projects'!$V$4:$V$202,0))</f>
        <v>#REF!</v>
      </c>
      <c r="E166" s="179" t="e">
        <f t="array" ref="E166">SUM(IF('[5]2013-2016 Projects'!$D$4:$D$202="Community and social services",'[5]2013-2016 Projects'!$V$4:$V$202,0))</f>
        <v>#REF!</v>
      </c>
      <c r="F166" s="179" t="e">
        <f t="array" ref="F166">SUM(IF('[5]2013-2016 Projects'!$D$4:$D$202="Community and social services",'[5]2013-2016 Projects'!$V$4:$V$202,0))</f>
        <v>#REF!</v>
      </c>
      <c r="G166" s="179"/>
      <c r="H166" s="179">
        <f t="array" ref="H166">SUM(IF('2014-2017 Projects'!$I$5:$I$258="Community and social services",'2014-2017 Projects'!$AK$5:$AK$258,0))</f>
        <v>12500000</v>
      </c>
      <c r="I166" s="179"/>
      <c r="J166" s="179"/>
      <c r="K166" s="179"/>
      <c r="L166" s="179"/>
      <c r="M166" s="179"/>
      <c r="N166" s="179"/>
      <c r="O166" s="179"/>
      <c r="P166" s="179"/>
      <c r="Q166" s="179"/>
      <c r="R166" s="179"/>
      <c r="S166" s="179"/>
      <c r="T166" s="179"/>
      <c r="U166" s="179"/>
      <c r="V166" s="179"/>
      <c r="W166" s="179"/>
      <c r="X166" s="179"/>
      <c r="Y166" s="179"/>
      <c r="Z166" s="179"/>
      <c r="AA166" s="179"/>
      <c r="AB166" s="179"/>
      <c r="AC166" s="179"/>
      <c r="AD166" s="179"/>
      <c r="AE166" s="179"/>
      <c r="AF166" s="179"/>
      <c r="AG166" s="179"/>
      <c r="AH166" s="179"/>
      <c r="AI166" s="179"/>
      <c r="AJ166" s="179"/>
      <c r="AK166" s="179"/>
      <c r="AL166" s="179"/>
      <c r="AM166" s="179"/>
      <c r="AN166" s="179"/>
      <c r="AO166" s="179">
        <f t="array" ref="AO166">SUM(IF('2014-2017 Projects'!$I$5:$I$258="Community and social services",'2014-2017 Projects'!$CG$5:$CG$258,0))</f>
        <v>9500000</v>
      </c>
      <c r="AP166" s="179">
        <f t="array" ref="AP166">SUM(IF('2014-2017 Projects'!$I$5:$I$258="Community and social services",'2014-2017 Projects'!$CH$5:$CH$258,0))</f>
        <v>9500000</v>
      </c>
    </row>
    <row r="167" spans="1:42" ht="13.5" x14ac:dyDescent="0.25">
      <c r="A167" s="178" t="s">
        <v>324</v>
      </c>
      <c r="B167" s="179" t="e">
        <f t="array" ref="B167">SUM(IF('[5]2013-2016 Projects'!$D$4:$D$202="Sport and recreation",'[5]2013-2016 Projects'!$V$4:$V$202,0))</f>
        <v>#REF!</v>
      </c>
      <c r="C167" s="179" t="e">
        <f t="array" ref="C167">SUM(IF('[5]2013-2016 Projects'!$D$4:$D$202="Sport and recreation",'[5]2013-2016 Projects'!$V$4:$V$202,0))</f>
        <v>#REF!</v>
      </c>
      <c r="D167" s="179" t="e">
        <f t="array" ref="D167">SUM(IF('[5]2013-2016 Projects'!$D$4:$D$202="Sport and recreation",'[5]2013-2016 Projects'!$V$4:$V$202,0))</f>
        <v>#REF!</v>
      </c>
      <c r="E167" s="179" t="e">
        <f t="array" ref="E167">SUM(IF('[5]2013-2016 Projects'!$D$4:$D$202="Sport and recreation",'[5]2013-2016 Projects'!$V$4:$V$202,0))</f>
        <v>#REF!</v>
      </c>
      <c r="F167" s="179" t="e">
        <f t="array" ref="F167">SUM(IF('[5]2013-2016 Projects'!$D$4:$D$202="Sport and recreation",'[5]2013-2016 Projects'!$V$4:$V$202,0))</f>
        <v>#REF!</v>
      </c>
      <c r="G167" s="179"/>
      <c r="H167" s="179">
        <f t="array" ref="H167">SUM(IF('2014-2017 Projects'!$I$5:$I$258="Sport and recreation",'2014-2017 Projects'!$AK$5:$AK$258,0))</f>
        <v>28030409</v>
      </c>
      <c r="I167" s="179"/>
      <c r="J167" s="179"/>
      <c r="K167" s="179"/>
      <c r="L167" s="179"/>
      <c r="M167" s="179"/>
      <c r="N167" s="179"/>
      <c r="O167" s="179"/>
      <c r="P167" s="179"/>
      <c r="Q167" s="179"/>
      <c r="R167" s="179"/>
      <c r="S167" s="179"/>
      <c r="T167" s="179"/>
      <c r="U167" s="179"/>
      <c r="V167" s="179"/>
      <c r="W167" s="179"/>
      <c r="X167" s="179"/>
      <c r="Y167" s="179"/>
      <c r="Z167" s="179"/>
      <c r="AA167" s="179"/>
      <c r="AB167" s="179"/>
      <c r="AC167" s="179"/>
      <c r="AD167" s="179"/>
      <c r="AE167" s="179"/>
      <c r="AF167" s="179"/>
      <c r="AG167" s="179"/>
      <c r="AH167" s="179"/>
      <c r="AI167" s="179"/>
      <c r="AJ167" s="179"/>
      <c r="AK167" s="179"/>
      <c r="AL167" s="179"/>
      <c r="AM167" s="179"/>
      <c r="AN167" s="179"/>
      <c r="AO167" s="179">
        <f t="array" ref="AO167">SUM(IF('2014-2017 Projects'!$I$5:$I$258="Sport and recreation",'2014-2017 Projects'!$CG$5:$CG$258,0))</f>
        <v>21750000</v>
      </c>
      <c r="AP167" s="179">
        <f t="array" ref="AP167">SUM(IF('2014-2017 Projects'!$I$5:$I$258="Sport and recreation",'2014-2017 Projects'!$CH$5:$CH$258,0))</f>
        <v>19750000</v>
      </c>
    </row>
    <row r="168" spans="1:42" ht="13.5" x14ac:dyDescent="0.25">
      <c r="A168" s="178" t="s">
        <v>32</v>
      </c>
      <c r="B168" s="179" t="e">
        <f t="array" ref="B168">SUM(IF('[5]2013-2016 Projects'!$D$4:$D$202="Public safety",'[5]2013-2016 Projects'!$V$4:$V$202,0))</f>
        <v>#REF!</v>
      </c>
      <c r="C168" s="179" t="e">
        <f t="array" ref="C168">SUM(IF('[5]2013-2016 Projects'!$D$4:$D$202="Public safety",'[5]2013-2016 Projects'!$V$4:$V$202,0))</f>
        <v>#REF!</v>
      </c>
      <c r="D168" s="179" t="e">
        <f t="array" ref="D168">SUM(IF('[5]2013-2016 Projects'!$D$4:$D$202="Public safety",'[5]2013-2016 Projects'!$V$4:$V$202,0))</f>
        <v>#REF!</v>
      </c>
      <c r="E168" s="179" t="e">
        <f t="array" ref="E168">SUM(IF('[5]2013-2016 Projects'!$D$4:$D$202="Public safety",'[5]2013-2016 Projects'!$V$4:$V$202,0))</f>
        <v>#REF!</v>
      </c>
      <c r="F168" s="179" t="e">
        <f t="array" ref="F168">SUM(IF('[5]2013-2016 Projects'!$D$4:$D$202="Public safety",'[5]2013-2016 Projects'!$V$4:$V$202,0))</f>
        <v>#REF!</v>
      </c>
      <c r="G168" s="179"/>
      <c r="H168" s="179">
        <f t="array" ref="H168">SUM(IF('2014-2017 Projects'!$I$5:$I$258="Public safety",'2014-2017 Projects'!$AK$5:$AK$258,0))</f>
        <v>9800000</v>
      </c>
      <c r="I168" s="179"/>
      <c r="J168" s="179"/>
      <c r="K168" s="179"/>
      <c r="L168" s="179"/>
      <c r="M168" s="179"/>
      <c r="N168" s="179"/>
      <c r="O168" s="179"/>
      <c r="P168" s="179"/>
      <c r="Q168" s="179"/>
      <c r="R168" s="179"/>
      <c r="S168" s="179"/>
      <c r="T168" s="179"/>
      <c r="U168" s="179"/>
      <c r="V168" s="179"/>
      <c r="W168" s="179"/>
      <c r="X168" s="179"/>
      <c r="Y168" s="179"/>
      <c r="Z168" s="179"/>
      <c r="AA168" s="179"/>
      <c r="AB168" s="179"/>
      <c r="AC168" s="179"/>
      <c r="AD168" s="179"/>
      <c r="AE168" s="179"/>
      <c r="AF168" s="179"/>
      <c r="AG168" s="179"/>
      <c r="AH168" s="179"/>
      <c r="AI168" s="179"/>
      <c r="AJ168" s="179"/>
      <c r="AK168" s="179"/>
      <c r="AL168" s="179"/>
      <c r="AM168" s="179"/>
      <c r="AN168" s="179"/>
      <c r="AO168" s="179">
        <f t="array" ref="AO168">SUM(IF('2014-2017 Projects'!$I$5:$I$258="Public safety",'2014-2017 Projects'!$CG$5:$CG$258,0))</f>
        <v>10500000</v>
      </c>
      <c r="AP168" s="179">
        <f t="array" ref="AP168">SUM(IF('2014-2017 Projects'!$I$5:$I$258="Public safety",'2014-2017 Projects'!$CH$5:$CH$258,0))</f>
        <v>21200000</v>
      </c>
    </row>
    <row r="169" spans="1:42" ht="13.5" x14ac:dyDescent="0.25">
      <c r="A169" s="178" t="s">
        <v>13</v>
      </c>
      <c r="B169" s="179" t="e">
        <f t="array" ref="B169">SUM(IF('[5]2013-2016 Projects'!$D$4:$D$202="Housing",'[5]2013-2016 Projects'!$V$4:$V$202,0))</f>
        <v>#REF!</v>
      </c>
      <c r="C169" s="179" t="e">
        <f t="array" ref="C169">SUM(IF('[5]2013-2016 Projects'!$D$4:$D$202="Housing",'[5]2013-2016 Projects'!$V$4:$V$202,0))</f>
        <v>#REF!</v>
      </c>
      <c r="D169" s="179" t="e">
        <f t="array" ref="D169">SUM(IF('[5]2013-2016 Projects'!$D$4:$D$202="Housing",'[5]2013-2016 Projects'!$V$4:$V$202,0))</f>
        <v>#REF!</v>
      </c>
      <c r="E169" s="179" t="e">
        <f t="array" ref="E169">SUM(IF('[5]2013-2016 Projects'!$D$4:$D$202="Housing",'[5]2013-2016 Projects'!$V$4:$V$202,0))</f>
        <v>#REF!</v>
      </c>
      <c r="F169" s="179" t="e">
        <f t="array" ref="F169">SUM(IF('[5]2013-2016 Projects'!$D$4:$D$202="Housing",'[5]2013-2016 Projects'!$V$4:$V$202,0))</f>
        <v>#REF!</v>
      </c>
      <c r="G169" s="179"/>
      <c r="H169" s="179">
        <f t="array" ref="H169">SUM(IF('2014-2017 Projects'!$I$5:$I$256="Housing",'2014-2017 Projects'!$AK$5:$AK$256,0))</f>
        <v>90136108</v>
      </c>
      <c r="I169" s="179"/>
      <c r="J169" s="179"/>
      <c r="K169" s="179"/>
      <c r="L169" s="179"/>
      <c r="M169" s="179"/>
      <c r="N169" s="179"/>
      <c r="O169" s="179"/>
      <c r="P169" s="179"/>
      <c r="Q169" s="179"/>
      <c r="R169" s="179"/>
      <c r="S169" s="179"/>
      <c r="T169" s="179"/>
      <c r="U169" s="179"/>
      <c r="V169" s="179"/>
      <c r="W169" s="179"/>
      <c r="X169" s="179"/>
      <c r="Y169" s="179"/>
      <c r="Z169" s="179"/>
      <c r="AA169" s="179"/>
      <c r="AB169" s="179"/>
      <c r="AC169" s="179"/>
      <c r="AD169" s="179"/>
      <c r="AE169" s="179"/>
      <c r="AF169" s="179"/>
      <c r="AG169" s="179"/>
      <c r="AH169" s="179"/>
      <c r="AI169" s="179"/>
      <c r="AJ169" s="179"/>
      <c r="AK169" s="179"/>
      <c r="AL169" s="179"/>
      <c r="AM169" s="179"/>
      <c r="AN169" s="179"/>
      <c r="AO169" s="179">
        <f t="array" ref="AO169">SUM(IF('2014-2017 Projects'!$I$5:$I$140="Housing",'2014-2017 Projects'!$CG$5:$CG$140,0))</f>
        <v>162968500</v>
      </c>
      <c r="AP169" s="179">
        <f t="array" ref="AP169">SUM(IF('2014-2017 Projects'!$I$5:$I$140="Housing",'2014-2017 Projects'!$CH$5:$CH$140,0))</f>
        <v>266764685</v>
      </c>
    </row>
    <row r="170" spans="1:42" ht="13.5" x14ac:dyDescent="0.25">
      <c r="A170" s="178" t="s">
        <v>325</v>
      </c>
      <c r="B170" s="179" t="e">
        <f t="array" ref="B170">SUM(IF('[5]2013-2016 Projects'!$D$4:$D$202="Health",'[5]2013-2016 Projects'!$V$4:$V$202,0))</f>
        <v>#REF!</v>
      </c>
      <c r="C170" s="179" t="e">
        <f t="array" ref="C170">SUM(IF('[5]2013-2016 Projects'!$D$4:$D$202="Health",'[5]2013-2016 Projects'!$V$4:$V$202,0))</f>
        <v>#REF!</v>
      </c>
      <c r="D170" s="179" t="e">
        <f t="array" ref="D170">SUM(IF('[5]2013-2016 Projects'!$D$4:$D$202="Health",'[5]2013-2016 Projects'!$V$4:$V$202,0))</f>
        <v>#REF!</v>
      </c>
      <c r="E170" s="179" t="e">
        <f t="array" ref="E170">SUM(IF('[5]2013-2016 Projects'!$D$4:$D$202="Health",'[5]2013-2016 Projects'!$V$4:$V$202,0))</f>
        <v>#REF!</v>
      </c>
      <c r="F170" s="179" t="e">
        <f t="array" ref="F170">SUM(IF('[5]2013-2016 Projects'!$D$4:$D$202="Health",'[5]2013-2016 Projects'!$V$4:$V$202,0))</f>
        <v>#REF!</v>
      </c>
      <c r="G170" s="179"/>
      <c r="H170" s="179">
        <f t="array" ref="H170">SUM(IF('2014-2017 Projects'!$I$5:$I$258="Health",'2014-2017 Projects'!$AK$5:$AK$258,0))</f>
        <v>0</v>
      </c>
      <c r="I170" s="179"/>
      <c r="J170" s="179"/>
      <c r="K170" s="179"/>
      <c r="L170" s="179"/>
      <c r="M170" s="179"/>
      <c r="N170" s="179"/>
      <c r="O170" s="179"/>
      <c r="P170" s="179"/>
      <c r="Q170" s="179"/>
      <c r="R170" s="179"/>
      <c r="S170" s="179"/>
      <c r="T170" s="179"/>
      <c r="U170" s="179"/>
      <c r="V170" s="179"/>
      <c r="W170" s="179"/>
      <c r="X170" s="179"/>
      <c r="Y170" s="179"/>
      <c r="Z170" s="179"/>
      <c r="AA170" s="179"/>
      <c r="AB170" s="179"/>
      <c r="AC170" s="179"/>
      <c r="AD170" s="179"/>
      <c r="AE170" s="179"/>
      <c r="AF170" s="179"/>
      <c r="AG170" s="179"/>
      <c r="AH170" s="179"/>
      <c r="AI170" s="179"/>
      <c r="AJ170" s="179"/>
      <c r="AK170" s="179"/>
      <c r="AL170" s="179"/>
      <c r="AM170" s="179"/>
      <c r="AN170" s="179"/>
      <c r="AO170" s="179">
        <f t="array" ref="AO170">SUM(IF('2014-2017 Projects'!$I$5:$I$258="Health",'2014-2017 Projects'!$CG$5:$CG$258,0))</f>
        <v>0</v>
      </c>
      <c r="AP170" s="179">
        <f t="array" ref="AP170">SUM(IF('2014-2017 Projects'!$I$5:$I$258="Health",'2014-2017 Projects'!$CH$5:$CH$258,0))</f>
        <v>0</v>
      </c>
    </row>
    <row r="171" spans="1:42" ht="13.5" x14ac:dyDescent="0.25">
      <c r="A171" s="176" t="s">
        <v>326</v>
      </c>
      <c r="B171" s="177" t="e">
        <f>SUM(B172:B174)</f>
        <v>#REF!</v>
      </c>
      <c r="C171" s="177" t="e">
        <f>SUM(C172:C174)</f>
        <v>#REF!</v>
      </c>
      <c r="D171" s="177" t="e">
        <f>SUM(D172:D174)</f>
        <v>#REF!</v>
      </c>
      <c r="E171" s="177" t="e">
        <f>SUM(E172:E174)</f>
        <v>#REF!</v>
      </c>
      <c r="F171" s="177" t="e">
        <f>SUM(F172:F174)</f>
        <v>#REF!</v>
      </c>
      <c r="G171" s="177"/>
      <c r="H171" s="177">
        <f>SUM(H172:H174)</f>
        <v>262895288</v>
      </c>
      <c r="I171" s="177"/>
      <c r="J171" s="177"/>
      <c r="K171" s="177"/>
      <c r="L171" s="177"/>
      <c r="M171" s="177"/>
      <c r="N171" s="177"/>
      <c r="O171" s="177"/>
      <c r="P171" s="177"/>
      <c r="Q171" s="177"/>
      <c r="R171" s="177"/>
      <c r="S171" s="177"/>
      <c r="T171" s="177"/>
      <c r="U171" s="177"/>
      <c r="V171" s="177"/>
      <c r="W171" s="177"/>
      <c r="X171" s="177"/>
      <c r="Y171" s="177"/>
      <c r="Z171" s="177"/>
      <c r="AA171" s="177"/>
      <c r="AB171" s="177"/>
      <c r="AC171" s="177"/>
      <c r="AD171" s="177"/>
      <c r="AE171" s="177"/>
      <c r="AF171" s="177"/>
      <c r="AG171" s="177"/>
      <c r="AH171" s="177"/>
      <c r="AI171" s="177"/>
      <c r="AJ171" s="177"/>
      <c r="AK171" s="177"/>
      <c r="AL171" s="177"/>
      <c r="AM171" s="177"/>
      <c r="AN171" s="177"/>
      <c r="AO171" s="177">
        <f>SUM(AO172:AO174)</f>
        <v>605220661</v>
      </c>
      <c r="AP171" s="177">
        <f>SUM(AP172:AP174)</f>
        <v>591655051</v>
      </c>
    </row>
    <row r="172" spans="1:42" ht="13.5" x14ac:dyDescent="0.25">
      <c r="A172" s="178" t="s">
        <v>33</v>
      </c>
      <c r="B172" s="179" t="e">
        <f t="array" ref="B172">SUM(IF('[5]2013-2016 Projects'!$D$4:$D$202="Planning and development",'[5]2013-2016 Projects'!$V$4:$V$202,0))</f>
        <v>#REF!</v>
      </c>
      <c r="C172" s="179" t="e">
        <f t="array" ref="C172">SUM(IF('[5]2013-2016 Projects'!$D$4:$D$202="Planning and development",'[5]2013-2016 Projects'!$V$4:$V$202,0))</f>
        <v>#REF!</v>
      </c>
      <c r="D172" s="179" t="e">
        <f t="array" ref="D172">SUM(IF('[5]2013-2016 Projects'!$D$4:$D$202="Planning and development",'[5]2013-2016 Projects'!$V$4:$V$202,0))</f>
        <v>#REF!</v>
      </c>
      <c r="E172" s="179" t="e">
        <f t="array" ref="E172">SUM(IF('[5]2013-2016 Projects'!$D$4:$D$202="Planning and development",'[5]2013-2016 Projects'!$V$4:$V$202,0))</f>
        <v>#REF!</v>
      </c>
      <c r="F172" s="179" t="e">
        <f t="array" ref="F172">SUM(IF('[5]2013-2016 Projects'!$D$4:$D$202="Planning and development",'[5]2013-2016 Projects'!$V$4:$V$202,0))</f>
        <v>#REF!</v>
      </c>
      <c r="G172" s="179"/>
      <c r="H172" s="179">
        <f t="array" ref="H172">SUM(IF('2014-2017 Projects'!$I$5:$I$258="Planning and development",'2014-2017 Projects'!$AK$5:$AK$258,0))</f>
        <v>54895288</v>
      </c>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f t="array" ref="AO172">SUM(IF('2014-2017 Projects'!$I$5:$I$258="Planning and development",'2014-2017 Projects'!$CG$5:$CG$258,0))</f>
        <v>52220661</v>
      </c>
      <c r="AP172" s="179">
        <f t="array" ref="AP172">SUM(IF('2014-2017 Projects'!$I$5:$I$258="Planning and development",'2014-2017 Projects'!$CH$5:$CH$258,0))</f>
        <v>83655051</v>
      </c>
    </row>
    <row r="173" spans="1:42" ht="13.5" x14ac:dyDescent="0.25">
      <c r="A173" s="178" t="s">
        <v>34</v>
      </c>
      <c r="B173" s="179" t="e">
        <f t="array" ref="B173">SUM(IF('[5]2013-2016 Projects'!$D$4:$D$202="Road transport",'[5]2013-2016 Projects'!$V$4:$V$202,0))</f>
        <v>#REF!</v>
      </c>
      <c r="C173" s="179" t="e">
        <f t="array" ref="C173">SUM(IF('[5]2013-2016 Projects'!$D$4:$D$202="Road transport",'[5]2013-2016 Projects'!$V$4:$V$202,0))</f>
        <v>#REF!</v>
      </c>
      <c r="D173" s="179" t="e">
        <f t="array" ref="D173">SUM(IF('[5]2013-2016 Projects'!$D$4:$D$202="Road transport",'[5]2013-2016 Projects'!$V$4:$V$202,0))</f>
        <v>#REF!</v>
      </c>
      <c r="E173" s="179" t="e">
        <f t="array" ref="E173">SUM(IF('[5]2013-2016 Projects'!$D$4:$D$202="Road transport",'[5]2013-2016 Projects'!$V$4:$V$202,0))</f>
        <v>#REF!</v>
      </c>
      <c r="F173" s="179" t="e">
        <f t="array" ref="F173">SUM(IF('[5]2013-2016 Projects'!$D$4:$D$202="Road transport",'[5]2013-2016 Projects'!$V$4:$V$202,0))</f>
        <v>#REF!</v>
      </c>
      <c r="G173" s="179"/>
      <c r="H173" s="179">
        <f t="array" ref="H173">SUM(IF('2014-2017 Projects'!$I$5:$I$258="Road Transport",'2014-2017 Projects'!$AK$5:$AK$258,0))</f>
        <v>198000000</v>
      </c>
      <c r="I173" s="179"/>
      <c r="J173" s="179"/>
      <c r="K173" s="179"/>
      <c r="L173" s="179"/>
      <c r="M173" s="179"/>
      <c r="N173" s="179"/>
      <c r="O173" s="179"/>
      <c r="P173" s="179"/>
      <c r="Q173" s="179"/>
      <c r="R173" s="179"/>
      <c r="S173" s="179"/>
      <c r="T173" s="179"/>
      <c r="U173" s="179"/>
      <c r="V173" s="179"/>
      <c r="W173" s="179"/>
      <c r="X173" s="179"/>
      <c r="Y173" s="179"/>
      <c r="Z173" s="179"/>
      <c r="AA173" s="179"/>
      <c r="AB173" s="179"/>
      <c r="AC173" s="179"/>
      <c r="AD173" s="179"/>
      <c r="AE173" s="179"/>
      <c r="AF173" s="179"/>
      <c r="AG173" s="179"/>
      <c r="AH173" s="179"/>
      <c r="AI173" s="179"/>
      <c r="AJ173" s="179"/>
      <c r="AK173" s="179"/>
      <c r="AL173" s="179"/>
      <c r="AM173" s="179"/>
      <c r="AN173" s="179"/>
      <c r="AO173" s="179">
        <f t="array" ref="AO173">SUM(IF('2014-2017 Projects'!$I$5:$I$258="Road Transport",'2014-2017 Projects'!$CG$5:$CG$258,0))</f>
        <v>545000000</v>
      </c>
      <c r="AP173" s="179">
        <f t="array" ref="AP173">SUM(IF('2014-2017 Projects'!$I$5:$I$258="Road Transport",'2014-2017 Projects'!$CH$5:$CH$258,0))</f>
        <v>500000000</v>
      </c>
    </row>
    <row r="174" spans="1:42" ht="13.5" x14ac:dyDescent="0.25">
      <c r="A174" s="178" t="s">
        <v>327</v>
      </c>
      <c r="B174" s="179" t="e">
        <f t="array" ref="B174">SUM(IF('[5]2013-2016 Projects'!$D$4:$D$202="Environmental protection",'[5]2013-2016 Projects'!$V$4:$V$202,0))</f>
        <v>#REF!</v>
      </c>
      <c r="C174" s="179" t="e">
        <f t="array" ref="C174">SUM(IF('[5]2013-2016 Projects'!$D$4:$D$202="Environmental protection",'[5]2013-2016 Projects'!$V$4:$V$202,0))</f>
        <v>#REF!</v>
      </c>
      <c r="D174" s="179" t="e">
        <f t="array" ref="D174">SUM(IF('[5]2013-2016 Projects'!$D$4:$D$202="Environmental protection",'[5]2013-2016 Projects'!$V$4:$V$202,0))</f>
        <v>#REF!</v>
      </c>
      <c r="E174" s="179" t="e">
        <f t="array" ref="E174">SUM(IF('[5]2013-2016 Projects'!$D$4:$D$202="Environmental protection",'[5]2013-2016 Projects'!$V$4:$V$202,0))</f>
        <v>#REF!</v>
      </c>
      <c r="F174" s="179" t="e">
        <f t="array" ref="F174">SUM(IF('[5]2013-2016 Projects'!$D$4:$D$202="Environmental protection",'[5]2013-2016 Projects'!$V$4:$V$202,0))</f>
        <v>#REF!</v>
      </c>
      <c r="G174" s="179"/>
      <c r="H174" s="179">
        <f t="array" ref="H174">SUM(IF('2014-2017 Projects'!$I$5:$I$258="Environmental Protection",'2014-2017 Projects'!$AK$5:$AK$258,0))</f>
        <v>10000000</v>
      </c>
      <c r="I174" s="179"/>
      <c r="J174" s="179"/>
      <c r="K174" s="179"/>
      <c r="L174" s="179"/>
      <c r="M174" s="179"/>
      <c r="N174" s="179"/>
      <c r="O174" s="179"/>
      <c r="P174" s="179"/>
      <c r="Q174" s="179"/>
      <c r="R174" s="179"/>
      <c r="S174" s="179"/>
      <c r="T174" s="179"/>
      <c r="U174" s="179"/>
      <c r="V174" s="179"/>
      <c r="W174" s="179"/>
      <c r="X174" s="179"/>
      <c r="Y174" s="179"/>
      <c r="Z174" s="179"/>
      <c r="AA174" s="179"/>
      <c r="AB174" s="179"/>
      <c r="AC174" s="179"/>
      <c r="AD174" s="179"/>
      <c r="AE174" s="179"/>
      <c r="AF174" s="179"/>
      <c r="AG174" s="179"/>
      <c r="AH174" s="179"/>
      <c r="AI174" s="179"/>
      <c r="AJ174" s="179"/>
      <c r="AK174" s="179"/>
      <c r="AL174" s="179"/>
      <c r="AM174" s="179"/>
      <c r="AN174" s="179"/>
      <c r="AO174" s="179">
        <f t="array" ref="AO174">SUM(IF('2014-2017 Projects'!$I$5:$I$258="Environmental Protection",'2014-2017 Projects'!$CG$5:$CG$258,0))</f>
        <v>8000000</v>
      </c>
      <c r="AP174" s="179">
        <f t="array" ref="AP174">SUM(IF('2014-2017 Projects'!$I$5:$I$258="Environmental Protection",'2014-2017 Projects'!$CH$5:$CH$258,0))</f>
        <v>8000000</v>
      </c>
    </row>
    <row r="175" spans="1:42" ht="13.5" x14ac:dyDescent="0.25">
      <c r="A175" s="176" t="s">
        <v>328</v>
      </c>
      <c r="B175" s="177" t="e">
        <f>SUM(B176:B179)</f>
        <v>#REF!</v>
      </c>
      <c r="C175" s="177" t="e">
        <f>SUM(C176:C179)</f>
        <v>#REF!</v>
      </c>
      <c r="D175" s="177" t="e">
        <f>SUM(D176:D179)</f>
        <v>#REF!</v>
      </c>
      <c r="E175" s="177" t="e">
        <f>SUM(E176:E179)</f>
        <v>#REF!</v>
      </c>
      <c r="F175" s="177" t="e">
        <f>SUM(F176:F179)</f>
        <v>#REF!</v>
      </c>
      <c r="G175" s="177"/>
      <c r="H175" s="177">
        <f>SUM(H176:H179)</f>
        <v>503195618</v>
      </c>
      <c r="I175" s="177"/>
      <c r="J175" s="177"/>
      <c r="K175" s="177"/>
      <c r="L175" s="177"/>
      <c r="M175" s="177"/>
      <c r="N175" s="177"/>
      <c r="O175" s="177"/>
      <c r="P175" s="177"/>
      <c r="Q175" s="177"/>
      <c r="R175" s="177"/>
      <c r="S175" s="177"/>
      <c r="T175" s="177"/>
      <c r="U175" s="177"/>
      <c r="V175" s="177"/>
      <c r="W175" s="177"/>
      <c r="X175" s="177"/>
      <c r="Y175" s="177"/>
      <c r="Z175" s="177"/>
      <c r="AA175" s="177"/>
      <c r="AB175" s="177"/>
      <c r="AC175" s="177"/>
      <c r="AD175" s="177"/>
      <c r="AE175" s="177"/>
      <c r="AF175" s="177"/>
      <c r="AG175" s="177"/>
      <c r="AH175" s="177"/>
      <c r="AI175" s="177"/>
      <c r="AJ175" s="177"/>
      <c r="AK175" s="177"/>
      <c r="AL175" s="177"/>
      <c r="AM175" s="177"/>
      <c r="AN175" s="177"/>
      <c r="AO175" s="177">
        <f>SUM(AO176:AO179)</f>
        <v>518210100</v>
      </c>
      <c r="AP175" s="177">
        <f>SUM(AP176:AP179)</f>
        <v>424912415</v>
      </c>
    </row>
    <row r="176" spans="1:42" ht="13.5" x14ac:dyDescent="0.25">
      <c r="A176" s="178" t="s">
        <v>14</v>
      </c>
      <c r="B176" s="179" t="e">
        <f t="array" ref="B176">SUM(IF('[5]2013-2016 Projects'!$D$4:$D$202="Electricity",'[5]2013-2016 Projects'!$V$4:$V$202,0))</f>
        <v>#REF!</v>
      </c>
      <c r="C176" s="179" t="e">
        <f t="array" ref="C176">SUM(IF('[5]2013-2016 Projects'!$D$4:$D$202="Electricity",'[5]2013-2016 Projects'!$V$4:$V$202,0))</f>
        <v>#REF!</v>
      </c>
      <c r="D176" s="179" t="e">
        <f t="array" ref="D176">SUM(IF('[5]2013-2016 Projects'!$D$4:$D$202="Electricity",'[5]2013-2016 Projects'!$V$4:$V$202,0))</f>
        <v>#REF!</v>
      </c>
      <c r="E176" s="179" t="e">
        <f t="array" ref="E176">SUM(IF('[5]2013-2016 Projects'!$D$4:$D$202="Electricity",'[5]2013-2016 Projects'!$V$4:$V$202,0))</f>
        <v>#REF!</v>
      </c>
      <c r="F176" s="179" t="e">
        <f t="array" ref="F176">SUM(IF('[5]2013-2016 Projects'!$D$4:$D$202="Electricity",'[5]2013-2016 Projects'!$V$4:$V$202,0))</f>
        <v>#REF!</v>
      </c>
      <c r="G176" s="179"/>
      <c r="H176" s="179">
        <f t="array" ref="H176">SUM(IF('2014-2017 Projects'!$I$5:$I$258="Electricity",'2014-2017 Projects'!$AK$5:$AK$258,0))</f>
        <v>152999000</v>
      </c>
      <c r="I176" s="179"/>
      <c r="J176" s="179"/>
      <c r="K176" s="179"/>
      <c r="L176" s="179"/>
      <c r="M176" s="179"/>
      <c r="N176" s="179"/>
      <c r="O176" s="179"/>
      <c r="P176" s="179"/>
      <c r="Q176" s="179"/>
      <c r="R176" s="179"/>
      <c r="S176" s="179"/>
      <c r="T176" s="179"/>
      <c r="U176" s="179"/>
      <c r="V176" s="179"/>
      <c r="W176" s="179"/>
      <c r="X176" s="179"/>
      <c r="Y176" s="179"/>
      <c r="Z176" s="179"/>
      <c r="AA176" s="179"/>
      <c r="AB176" s="179"/>
      <c r="AC176" s="179"/>
      <c r="AD176" s="179"/>
      <c r="AE176" s="179"/>
      <c r="AF176" s="179"/>
      <c r="AG176" s="179"/>
      <c r="AH176" s="179"/>
      <c r="AI176" s="179"/>
      <c r="AJ176" s="179"/>
      <c r="AK176" s="179"/>
      <c r="AL176" s="179"/>
      <c r="AM176" s="179"/>
      <c r="AN176" s="179"/>
      <c r="AO176" s="179">
        <f t="array" ref="AO176">SUM(IF('2014-2017 Projects'!$I$5:$I$258="Electricity",'2014-2017 Projects'!$CG$5:$CG$258,0))</f>
        <v>160500000</v>
      </c>
      <c r="AP176" s="179">
        <f t="array" ref="AP176">SUM(IF('2014-2017 Projects'!$I$5:$I$258="Electricity",'2014-2017 Projects'!$CH$5:$CH$258,0))</f>
        <v>166500000</v>
      </c>
    </row>
    <row r="177" spans="1:42" ht="13.5" x14ac:dyDescent="0.25">
      <c r="A177" s="178" t="s">
        <v>35</v>
      </c>
      <c r="B177" s="179" t="e">
        <f t="array" ref="B177">SUM(IF('[5]2013-2016 Projects'!$D$4:$D$202="Water",'[5]2013-2016 Projects'!$V$4:$V$202,0))</f>
        <v>#REF!</v>
      </c>
      <c r="C177" s="179" t="e">
        <f t="array" ref="C177">SUM(IF('[5]2013-2016 Projects'!$D$4:$D$202="Water",'[5]2013-2016 Projects'!$V$4:$V$202,0))</f>
        <v>#REF!</v>
      </c>
      <c r="D177" s="179" t="e">
        <f t="array" ref="D177">SUM(IF('[5]2013-2016 Projects'!$D$4:$D$202="Water",'[5]2013-2016 Projects'!$V$4:$V$202,0))</f>
        <v>#REF!</v>
      </c>
      <c r="E177" s="179" t="e">
        <f t="array" ref="E177">SUM(IF('[5]2013-2016 Projects'!$D$4:$D$202="Water",'[5]2013-2016 Projects'!$V$4:$V$202,0))</f>
        <v>#REF!</v>
      </c>
      <c r="F177" s="179" t="e">
        <f t="array" ref="F177">SUM(IF('[5]2013-2016 Projects'!$D$4:$D$202="Water",'[5]2013-2016 Projects'!$V$4:$V$202,0))</f>
        <v>#REF!</v>
      </c>
      <c r="G177" s="179"/>
      <c r="H177" s="179">
        <f t="array" ref="H177">SUM(IF('2014-2017 Projects'!$I$5:$I$258="Water",'2014-2017 Projects'!$AK$5:$AK$258,0))</f>
        <v>97688726</v>
      </c>
      <c r="I177" s="179"/>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f t="array" ref="AO177">SUM(IF('2014-2017 Projects'!$I$5:$I$258="Water",'2014-2017 Projects'!$CG$5:$CG$258,0))</f>
        <v>91000000</v>
      </c>
      <c r="AP177" s="179">
        <f t="array" ref="AP177">SUM(IF('2014-2017 Projects'!$I$5:$I$258="Water",'2014-2017 Projects'!$CH$5:$CH$258,0))</f>
        <v>91000000</v>
      </c>
    </row>
    <row r="178" spans="1:42" ht="13.5" x14ac:dyDescent="0.25">
      <c r="A178" s="178" t="s">
        <v>329</v>
      </c>
      <c r="B178" s="179" t="e">
        <f t="array" ref="B178">SUM(IF('[5]2013-2016 Projects'!$D$4:$D$202="Waste water management",'[5]2013-2016 Projects'!$V$4:$V$202,0))</f>
        <v>#REF!</v>
      </c>
      <c r="C178" s="179" t="e">
        <f t="array" ref="C178">SUM(IF('[5]2013-2016 Projects'!$D$4:$D$202="Waste water management",'[5]2013-2016 Projects'!$V$4:$V$202,0))</f>
        <v>#REF!</v>
      </c>
      <c r="D178" s="179" t="e">
        <f t="array" ref="D178">SUM(IF('[5]2013-2016 Projects'!$D$4:$D$202="Waste water management",'[5]2013-2016 Projects'!$V$4:$V$202,0))</f>
        <v>#REF!</v>
      </c>
      <c r="E178" s="179" t="e">
        <f t="array" ref="E178">SUM(IF('[5]2013-2016 Projects'!$D$4:$D$202="Waste water management",'[5]2013-2016 Projects'!$V$4:$V$202,0))</f>
        <v>#REF!</v>
      </c>
      <c r="F178" s="179" t="e">
        <f t="array" ref="F178">SUM(IF('[5]2013-2016 Projects'!$D$4:$D$202="Waste water management",'[5]2013-2016 Projects'!$V$4:$V$202,0))</f>
        <v>#REF!</v>
      </c>
      <c r="G178" s="179"/>
      <c r="H178" s="179">
        <f t="array" ref="H178">SUM(IF('2014-2017 Projects'!$I$5:$I$258="Waste water management",'2014-2017 Projects'!$AK$5:$AK$258,0))</f>
        <v>216507892</v>
      </c>
      <c r="I178" s="179"/>
      <c r="J178" s="179"/>
      <c r="K178" s="179"/>
      <c r="L178" s="179"/>
      <c r="M178" s="179"/>
      <c r="N178" s="179"/>
      <c r="O178" s="179"/>
      <c r="P178" s="179"/>
      <c r="Q178" s="179"/>
      <c r="R178" s="179"/>
      <c r="S178" s="179"/>
      <c r="T178" s="179"/>
      <c r="U178" s="179"/>
      <c r="V178" s="179"/>
      <c r="W178" s="179"/>
      <c r="X178" s="179"/>
      <c r="Y178" s="179"/>
      <c r="Z178" s="179"/>
      <c r="AA178" s="179"/>
      <c r="AB178" s="179"/>
      <c r="AC178" s="179"/>
      <c r="AD178" s="179"/>
      <c r="AE178" s="179"/>
      <c r="AF178" s="179"/>
      <c r="AG178" s="179"/>
      <c r="AH178" s="179"/>
      <c r="AI178" s="179"/>
      <c r="AJ178" s="179"/>
      <c r="AK178" s="179"/>
      <c r="AL178" s="179"/>
      <c r="AM178" s="179"/>
      <c r="AN178" s="179"/>
      <c r="AO178" s="179">
        <f t="array" ref="AO178">SUM(IF('2014-2017 Projects'!$I$5:$I$258="Waste water management",'2014-2017 Projects'!$CG$5:$CG$258,0))</f>
        <v>230000000</v>
      </c>
      <c r="AP178" s="179">
        <f t="array" ref="AP178">SUM(IF('2014-2017 Projects'!$I$5:$I$258="Waste water management",'2014-2017 Projects'!$CH$5:$CH$258,0))</f>
        <v>137000000</v>
      </c>
    </row>
    <row r="179" spans="1:42" ht="13.5" x14ac:dyDescent="0.25">
      <c r="A179" s="178" t="s">
        <v>330</v>
      </c>
      <c r="B179" s="179" t="e">
        <f t="array" ref="B179">SUM(IF('[5]2013-2016 Projects'!$D$4:$D$202="Waste management",'[5]2013-2016 Projects'!$V$4:$V$202,0))</f>
        <v>#REF!</v>
      </c>
      <c r="C179" s="179" t="e">
        <f t="array" ref="C179">SUM(IF('[5]2013-2016 Projects'!$D$4:$D$202="Waste management",'[5]2013-2016 Projects'!$V$4:$V$202,0))</f>
        <v>#REF!</v>
      </c>
      <c r="D179" s="179" t="e">
        <f t="array" ref="D179">SUM(IF('[5]2013-2016 Projects'!$D$4:$D$202="Waste management",'[5]2013-2016 Projects'!$V$4:$V$202,0))</f>
        <v>#REF!</v>
      </c>
      <c r="E179" s="179" t="e">
        <f t="array" ref="E179">SUM(IF('[5]2013-2016 Projects'!$D$4:$D$202="Waste management",'[5]2013-2016 Projects'!$V$4:$V$202,0))</f>
        <v>#REF!</v>
      </c>
      <c r="F179" s="179" t="e">
        <f t="array" ref="F179">SUM(IF('[5]2013-2016 Projects'!$D$4:$D$202="Waste management",'[5]2013-2016 Projects'!$V$4:$V$202,0))</f>
        <v>#REF!</v>
      </c>
      <c r="G179" s="179"/>
      <c r="H179" s="179">
        <f t="array" ref="H179">SUM(IF('2014-2017 Projects'!$I$5:$I$258="Waste Management",'2014-2017 Projects'!$AK$5:$AK$258,0))</f>
        <v>36000000</v>
      </c>
      <c r="I179" s="179"/>
      <c r="J179" s="179"/>
      <c r="K179" s="179"/>
      <c r="L179" s="179"/>
      <c r="M179" s="179"/>
      <c r="N179" s="179"/>
      <c r="O179" s="179"/>
      <c r="P179" s="179"/>
      <c r="Q179" s="179"/>
      <c r="R179" s="179"/>
      <c r="S179" s="179"/>
      <c r="T179" s="179"/>
      <c r="U179" s="179"/>
      <c r="V179" s="179"/>
      <c r="W179" s="179"/>
      <c r="X179" s="179"/>
      <c r="Y179" s="179"/>
      <c r="Z179" s="179"/>
      <c r="AA179" s="179"/>
      <c r="AB179" s="179"/>
      <c r="AC179" s="179"/>
      <c r="AD179" s="179"/>
      <c r="AE179" s="179"/>
      <c r="AF179" s="179"/>
      <c r="AG179" s="179"/>
      <c r="AH179" s="179"/>
      <c r="AI179" s="179"/>
      <c r="AJ179" s="179"/>
      <c r="AK179" s="179"/>
      <c r="AL179" s="179"/>
      <c r="AM179" s="179"/>
      <c r="AN179" s="179"/>
      <c r="AO179" s="179">
        <f t="array" ref="AO179">SUM(IF('2014-2017 Projects'!$I$5:$I$258="Waste Management",'2014-2017 Projects'!$CG$5:$CG$258,0))</f>
        <v>36710100</v>
      </c>
      <c r="AP179" s="179">
        <f t="array" ref="AP179">SUM(IF('2014-2017 Projects'!$I$5:$I$258="Waste Management",'2014-2017 Projects'!$CH$5:$CH$258,0))</f>
        <v>30412415</v>
      </c>
    </row>
    <row r="180" spans="1:42" ht="13.5" x14ac:dyDescent="0.25">
      <c r="A180" s="176" t="s">
        <v>36</v>
      </c>
      <c r="B180" s="179" t="e">
        <f t="array" ref="B180">SUM(IF('[5]2013-2016 Projects'!$D$4:$D$202="Other",'[5]2013-2016 Projects'!$V$4:$V$202,0))</f>
        <v>#REF!</v>
      </c>
      <c r="C180" s="179" t="e">
        <f t="array" ref="C180">SUM(IF('[5]2013-2016 Projects'!$D$4:$D$202="Other",'[5]2013-2016 Projects'!$V$4:$V$202,0))</f>
        <v>#REF!</v>
      </c>
      <c r="D180" s="179" t="e">
        <f t="array" ref="D180">SUM(IF('[5]2013-2016 Projects'!$D$4:$D$202="Other",'[5]2013-2016 Projects'!$V$4:$V$202,0))</f>
        <v>#REF!</v>
      </c>
      <c r="E180" s="179" t="e">
        <f t="array" ref="E180">SUM(IF('[5]2013-2016 Projects'!$D$4:$D$202="Other",'[5]2013-2016 Projects'!$V$4:$V$202,0))</f>
        <v>#REF!</v>
      </c>
      <c r="F180" s="179" t="e">
        <f t="array" ref="F180">SUM(IF('[5]2013-2016 Projects'!$D$4:$D$202="Other",'[5]2013-2016 Projects'!$V$4:$V$202,0))</f>
        <v>#REF!</v>
      </c>
      <c r="G180" s="179"/>
      <c r="H180" s="179">
        <f t="array" ref="H180">SUM(IF('2014-2017 Projects'!$I$5:$I$258="Other",'2014-2017 Projects'!$AK$5:$AK$258,0))</f>
        <v>500000</v>
      </c>
      <c r="I180" s="179"/>
      <c r="J180" s="179"/>
      <c r="K180" s="179"/>
      <c r="L180" s="179"/>
      <c r="M180" s="179"/>
      <c r="N180" s="179"/>
      <c r="O180" s="179"/>
      <c r="P180" s="179"/>
      <c r="Q180" s="179"/>
      <c r="R180" s="179"/>
      <c r="S180" s="179"/>
      <c r="T180" s="179"/>
      <c r="U180" s="179"/>
      <c r="V180" s="179"/>
      <c r="W180" s="179"/>
      <c r="X180" s="179"/>
      <c r="Y180" s="179"/>
      <c r="Z180" s="179"/>
      <c r="AA180" s="179"/>
      <c r="AB180" s="179"/>
      <c r="AC180" s="179"/>
      <c r="AD180" s="179"/>
      <c r="AE180" s="179"/>
      <c r="AF180" s="179"/>
      <c r="AG180" s="179"/>
      <c r="AH180" s="179"/>
      <c r="AI180" s="179"/>
      <c r="AJ180" s="179"/>
      <c r="AK180" s="179"/>
      <c r="AL180" s="179"/>
      <c r="AM180" s="179"/>
      <c r="AN180" s="179"/>
      <c r="AO180" s="179">
        <f t="array" ref="AO180">SUM(IF('2014-2017 Projects'!$I$5:$I$258="Other",'2014-2017 Projects'!$CG$5:$CG$258,0))</f>
        <v>500000</v>
      </c>
      <c r="AP180" s="179">
        <f t="array" ref="AP180">SUM(IF('2014-2017 Projects'!$I$5:$I$258="Other",'2014-2017 Projects'!$CH$5:$CH$258,0))</f>
        <v>500000</v>
      </c>
    </row>
    <row r="181" spans="1:42" ht="13.5" x14ac:dyDescent="0.25">
      <c r="A181" s="181" t="s">
        <v>331</v>
      </c>
      <c r="B181" s="182" t="e">
        <f>B161+B165+B171+B175+B180</f>
        <v>#REF!</v>
      </c>
      <c r="C181" s="182" t="e">
        <f>C161+C165+C171+C175+C180</f>
        <v>#REF!</v>
      </c>
      <c r="D181" s="182" t="e">
        <f>D161+D165+D171+D175+D180</f>
        <v>#REF!</v>
      </c>
      <c r="E181" s="182" t="e">
        <f>E161+E165+E171+E175+E180</f>
        <v>#REF!</v>
      </c>
      <c r="F181" s="182" t="e">
        <f>F161+F165+F171+F175+F180</f>
        <v>#REF!</v>
      </c>
      <c r="G181" s="182"/>
      <c r="H181" s="182">
        <f>H161+H165+H171+H175+H180</f>
        <v>942007423</v>
      </c>
      <c r="I181" s="182"/>
      <c r="J181" s="182"/>
      <c r="K181" s="182"/>
      <c r="L181" s="182"/>
      <c r="M181" s="182"/>
      <c r="N181" s="182"/>
      <c r="O181" s="182"/>
      <c r="P181" s="182"/>
      <c r="Q181" s="182"/>
      <c r="R181" s="182"/>
      <c r="S181" s="182"/>
      <c r="T181" s="182"/>
      <c r="U181" s="182"/>
      <c r="V181" s="182"/>
      <c r="W181" s="182"/>
      <c r="X181" s="182"/>
      <c r="Y181" s="182"/>
      <c r="Z181" s="182"/>
      <c r="AA181" s="182"/>
      <c r="AB181" s="182"/>
      <c r="AC181" s="182"/>
      <c r="AD181" s="182"/>
      <c r="AE181" s="182"/>
      <c r="AF181" s="182"/>
      <c r="AG181" s="182"/>
      <c r="AH181" s="182"/>
      <c r="AI181" s="182"/>
      <c r="AJ181" s="182"/>
      <c r="AK181" s="182"/>
      <c r="AL181" s="182"/>
      <c r="AM181" s="182"/>
      <c r="AN181" s="182"/>
      <c r="AO181" s="182">
        <f>AO161+AO165+AO171+AO175+AO180</f>
        <v>1382127261</v>
      </c>
      <c r="AP181" s="182">
        <f>AP161+AP165+AP171+AP175+AP180</f>
        <v>1385226151</v>
      </c>
    </row>
    <row r="182" spans="1:42" ht="13.5" x14ac:dyDescent="0.25">
      <c r="A182" s="183"/>
      <c r="B182" s="184"/>
      <c r="C182" s="184"/>
      <c r="D182" s="184"/>
      <c r="E182" s="184"/>
      <c r="F182" s="184"/>
      <c r="G182" s="184"/>
      <c r="H182" s="184"/>
      <c r="I182" s="184"/>
      <c r="J182" s="184"/>
      <c r="K182" s="184"/>
      <c r="L182" s="184"/>
      <c r="M182" s="184"/>
      <c r="N182" s="184"/>
      <c r="O182" s="184"/>
      <c r="P182" s="184"/>
      <c r="Q182" s="184"/>
      <c r="R182" s="184"/>
      <c r="S182" s="184"/>
      <c r="T182" s="184"/>
      <c r="U182" s="184"/>
      <c r="V182" s="184"/>
      <c r="W182" s="184"/>
      <c r="X182" s="184"/>
      <c r="Y182" s="184"/>
      <c r="Z182" s="184"/>
      <c r="AA182" s="184"/>
      <c r="AB182" s="184"/>
      <c r="AC182" s="184"/>
      <c r="AD182" s="184"/>
      <c r="AE182" s="184"/>
      <c r="AF182" s="184"/>
      <c r="AG182" s="184"/>
      <c r="AH182" s="184"/>
      <c r="AI182" s="184"/>
      <c r="AJ182" s="184"/>
      <c r="AK182" s="184"/>
      <c r="AL182" s="184"/>
      <c r="AM182" s="184"/>
      <c r="AN182" s="184"/>
      <c r="AO182" s="184"/>
      <c r="AP182" s="184"/>
    </row>
    <row r="183" spans="1:42" ht="13.5" x14ac:dyDescent="0.25">
      <c r="A183" s="173" t="s">
        <v>332</v>
      </c>
      <c r="B183" s="175"/>
      <c r="C183" s="175"/>
      <c r="D183" s="175"/>
      <c r="E183" s="175"/>
      <c r="F183" s="175"/>
      <c r="G183" s="175"/>
      <c r="H183" s="175"/>
      <c r="I183" s="175"/>
      <c r="J183" s="175"/>
      <c r="K183" s="175"/>
      <c r="L183" s="175"/>
      <c r="M183" s="175"/>
      <c r="N183" s="175"/>
      <c r="O183" s="175"/>
      <c r="P183" s="175"/>
      <c r="Q183" s="175"/>
      <c r="R183" s="175"/>
      <c r="S183" s="175"/>
      <c r="T183" s="175"/>
      <c r="U183" s="175"/>
      <c r="V183" s="175"/>
      <c r="W183" s="175"/>
      <c r="X183" s="175"/>
      <c r="Y183" s="175"/>
      <c r="Z183" s="175"/>
      <c r="AA183" s="175"/>
      <c r="AB183" s="175"/>
      <c r="AC183" s="175"/>
      <c r="AD183" s="175"/>
      <c r="AE183" s="175"/>
      <c r="AF183" s="175"/>
      <c r="AG183" s="175"/>
      <c r="AH183" s="175"/>
      <c r="AI183" s="175"/>
      <c r="AJ183" s="175"/>
      <c r="AK183" s="175"/>
      <c r="AL183" s="175"/>
      <c r="AM183" s="175"/>
      <c r="AN183" s="175"/>
      <c r="AO183" s="175"/>
      <c r="AP183" s="175"/>
    </row>
    <row r="184" spans="1:42" ht="13.5" x14ac:dyDescent="0.25">
      <c r="A184" s="186" t="s">
        <v>333</v>
      </c>
      <c r="B184" s="180" t="e">
        <f t="array" ref="B184">SUM(IF(#REF!="N",$C$5:$C$16,0))</f>
        <v>#REF!</v>
      </c>
      <c r="C184" s="180" t="e">
        <f t="array" ref="C184">SUM(IF(#REF!="N",$C$5:$C$16,0))</f>
        <v>#REF!</v>
      </c>
      <c r="D184" s="180" t="e">
        <f t="array" ref="D184">SUM(IF(#REF!="N",$C$5:$C$16,0))</f>
        <v>#REF!</v>
      </c>
      <c r="E184" s="180" t="e">
        <f t="array" ref="E184">SUM(IF(#REF!="N",$C$5:$C$16,0))</f>
        <v>#REF!</v>
      </c>
      <c r="F184" s="180" t="e">
        <f t="array" ref="F184">SUM(IF(#REF!="N",$C$5:$C$16,0))</f>
        <v>#REF!</v>
      </c>
      <c r="G184" s="180"/>
      <c r="H184" s="180">
        <f t="array" ref="H184">SUM(IF($AT$5:$AT$21="N",$H$5:$H$21,0))</f>
        <v>671924500</v>
      </c>
      <c r="I184" s="180"/>
      <c r="J184" s="180"/>
      <c r="K184" s="180"/>
      <c r="L184" s="180"/>
      <c r="M184" s="180"/>
      <c r="N184" s="180"/>
      <c r="O184" s="180"/>
      <c r="P184" s="180"/>
      <c r="Q184" s="180"/>
      <c r="R184" s="180"/>
      <c r="S184" s="180"/>
      <c r="T184" s="180"/>
      <c r="U184" s="180"/>
      <c r="V184" s="180"/>
      <c r="W184" s="180"/>
      <c r="X184" s="180"/>
      <c r="Y184" s="180"/>
      <c r="Z184" s="180"/>
      <c r="AA184" s="180"/>
      <c r="AB184" s="180"/>
      <c r="AC184" s="180"/>
      <c r="AD184" s="180"/>
      <c r="AE184" s="180"/>
      <c r="AF184" s="180"/>
      <c r="AG184" s="180"/>
      <c r="AH184" s="180"/>
      <c r="AI184" s="180"/>
      <c r="AJ184" s="180"/>
      <c r="AK184" s="180"/>
      <c r="AL184" s="180"/>
      <c r="AM184" s="180"/>
      <c r="AN184" s="180"/>
      <c r="AO184" s="180">
        <f t="array" ref="AO184">SUM(IF($AT$5:$AT$21="N",$AO$5:$AO$21,0))</f>
        <v>1067288100</v>
      </c>
      <c r="AP184" s="180">
        <f t="array" ref="AP184">SUM(IF($AT$5:$AT$21="N",$AP$5:$AP$21,0))</f>
        <v>1055371100</v>
      </c>
    </row>
    <row r="185" spans="1:42" ht="13.5" x14ac:dyDescent="0.25">
      <c r="A185" s="186" t="s">
        <v>334</v>
      </c>
      <c r="B185" s="180" t="e">
        <f t="array" ref="B185">SUM(IF(#REF!="P",$C$5:$C$16,0))</f>
        <v>#REF!</v>
      </c>
      <c r="C185" s="180" t="e">
        <f t="array" ref="C185">SUM(IF(#REF!="P",$C$5:$C$16,0))</f>
        <v>#REF!</v>
      </c>
      <c r="D185" s="180" t="e">
        <f t="array" ref="D185">SUM(IF(#REF!="P",$C$5:$C$16,0))</f>
        <v>#REF!</v>
      </c>
      <c r="E185" s="180" t="e">
        <f t="array" ref="E185">SUM(IF(#REF!="P",$C$5:$C$16,0))</f>
        <v>#REF!</v>
      </c>
      <c r="F185" s="180" t="e">
        <f t="array" ref="F185">SUM(IF(#REF!="P",$C$5:$C$16,0))</f>
        <v>#REF!</v>
      </c>
      <c r="G185" s="180"/>
      <c r="H185" s="180">
        <f t="array" ref="H185">SUM(IF($AT$5:$AT$21="P",$H$5:$H$21,0))</f>
        <v>28857226</v>
      </c>
      <c r="I185" s="180"/>
      <c r="J185" s="180"/>
      <c r="K185" s="180"/>
      <c r="L185" s="180"/>
      <c r="M185" s="180"/>
      <c r="N185" s="180"/>
      <c r="O185" s="180"/>
      <c r="P185" s="180"/>
      <c r="Q185" s="180"/>
      <c r="R185" s="180"/>
      <c r="S185" s="180"/>
      <c r="T185" s="180"/>
      <c r="U185" s="180"/>
      <c r="V185" s="180"/>
      <c r="W185" s="180"/>
      <c r="X185" s="180"/>
      <c r="Y185" s="180"/>
      <c r="Z185" s="180"/>
      <c r="AA185" s="180"/>
      <c r="AB185" s="180"/>
      <c r="AC185" s="180"/>
      <c r="AD185" s="180"/>
      <c r="AE185" s="180"/>
      <c r="AF185" s="180"/>
      <c r="AG185" s="180"/>
      <c r="AH185" s="180"/>
      <c r="AI185" s="180"/>
      <c r="AJ185" s="180"/>
      <c r="AK185" s="180"/>
      <c r="AL185" s="180"/>
      <c r="AM185" s="180"/>
      <c r="AN185" s="180"/>
      <c r="AO185" s="180">
        <f t="array" ref="AO185">SUM(IF($AT$5:$AT$21="P",$AO$5:$AO$21,0))</f>
        <v>57968500</v>
      </c>
      <c r="AP185" s="180">
        <f t="array" ref="AP185">SUM(IF($AT$5:$AT$21="P",$AP$5:$AP$21,0))</f>
        <v>59300000</v>
      </c>
    </row>
    <row r="186" spans="1:42" ht="13.5" x14ac:dyDescent="0.25">
      <c r="A186" s="186" t="s">
        <v>335</v>
      </c>
      <c r="B186" s="187">
        <v>0</v>
      </c>
      <c r="C186" s="187">
        <v>0</v>
      </c>
      <c r="D186" s="187">
        <v>0</v>
      </c>
      <c r="E186" s="187">
        <v>0</v>
      </c>
      <c r="F186" s="187">
        <v>0</v>
      </c>
      <c r="G186" s="187"/>
      <c r="H186" s="187">
        <v>0</v>
      </c>
      <c r="I186" s="187"/>
      <c r="J186" s="187"/>
      <c r="K186" s="187"/>
      <c r="L186" s="187"/>
      <c r="M186" s="187"/>
      <c r="N186" s="187"/>
      <c r="O186" s="187"/>
      <c r="P186" s="187"/>
      <c r="Q186" s="187"/>
      <c r="R186" s="187"/>
      <c r="S186" s="187"/>
      <c r="T186" s="187"/>
      <c r="U186" s="187"/>
      <c r="V186" s="187"/>
      <c r="W186" s="187"/>
      <c r="X186" s="187"/>
      <c r="Y186" s="187"/>
      <c r="Z186" s="187"/>
      <c r="AA186" s="187"/>
      <c r="AB186" s="187"/>
      <c r="AC186" s="187"/>
      <c r="AD186" s="187"/>
      <c r="AE186" s="187"/>
      <c r="AF186" s="187"/>
      <c r="AG186" s="187"/>
      <c r="AH186" s="187"/>
      <c r="AI186" s="187"/>
      <c r="AJ186" s="187"/>
      <c r="AK186" s="187"/>
      <c r="AL186" s="187"/>
      <c r="AM186" s="187"/>
      <c r="AN186" s="187"/>
      <c r="AO186" s="187">
        <v>0</v>
      </c>
      <c r="AP186" s="187">
        <v>0</v>
      </c>
    </row>
    <row r="187" spans="1:42" ht="13.5" x14ac:dyDescent="0.25">
      <c r="A187" s="188" t="s">
        <v>336</v>
      </c>
      <c r="B187" s="187">
        <v>0</v>
      </c>
      <c r="C187" s="187">
        <v>0</v>
      </c>
      <c r="D187" s="187">
        <v>0</v>
      </c>
      <c r="E187" s="187">
        <v>0</v>
      </c>
      <c r="F187" s="187">
        <v>0</v>
      </c>
      <c r="G187" s="187"/>
      <c r="H187" s="187">
        <v>0</v>
      </c>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v>0</v>
      </c>
      <c r="AP187" s="187">
        <v>0</v>
      </c>
    </row>
    <row r="188" spans="1:42" ht="13.5" x14ac:dyDescent="0.25">
      <c r="A188" s="189" t="s">
        <v>337</v>
      </c>
      <c r="B188" s="190" t="e">
        <f>SUM(B184:B187)</f>
        <v>#REF!</v>
      </c>
      <c r="C188" s="190" t="e">
        <f>SUM(C184:C187)</f>
        <v>#REF!</v>
      </c>
      <c r="D188" s="190" t="e">
        <f>SUM(D184:D187)</f>
        <v>#REF!</v>
      </c>
      <c r="E188" s="190" t="e">
        <f>SUM(E184:E187)</f>
        <v>#REF!</v>
      </c>
      <c r="F188" s="190" t="e">
        <f>SUM(F184:F187)</f>
        <v>#REF!</v>
      </c>
      <c r="G188" s="190"/>
      <c r="H188" s="190">
        <f>SUM(H184:H187)</f>
        <v>700781726</v>
      </c>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f>SUM(AO184:AO187)</f>
        <v>1125256600</v>
      </c>
      <c r="AP188" s="190">
        <f>SUM(AP184:AP187)</f>
        <v>1114671100</v>
      </c>
    </row>
    <row r="189" spans="1:42" ht="13.5" x14ac:dyDescent="0.25">
      <c r="A189" s="191" t="s">
        <v>338</v>
      </c>
      <c r="B189" s="180" t="e">
        <f t="array" ref="B189">SUM(IF(#REF!="D",$C$5:$C$16,0))</f>
        <v>#REF!</v>
      </c>
      <c r="C189" s="180" t="e">
        <f t="array" ref="C189">SUM(IF(#REF!="D",$C$5:$C$16,0))</f>
        <v>#REF!</v>
      </c>
      <c r="D189" s="180" t="e">
        <f t="array" ref="D189">SUM(IF(#REF!="D",$C$5:$C$16,0))</f>
        <v>#REF!</v>
      </c>
      <c r="E189" s="180" t="e">
        <f t="array" ref="E189">SUM(IF(#REF!="D",$C$5:$C$16,0))</f>
        <v>#REF!</v>
      </c>
      <c r="F189" s="180" t="e">
        <f t="array" ref="F189">SUM(IF(#REF!="D",$C$5:$C$16,0))</f>
        <v>#REF!</v>
      </c>
      <c r="G189" s="180"/>
      <c r="H189" s="180">
        <f t="array" ref="H189">SUM(IF($AT$5:$AT$21="D",$H$5:$H$21,0))</f>
        <v>0</v>
      </c>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f t="array" ref="AO189">SUM(IF($AT$5:$AT$21="D",$AO$5:$AO$21,0))</f>
        <v>0</v>
      </c>
      <c r="AP189" s="180">
        <f t="array" ref="AP189">SUM(IF($AT$5:$AT$21="D",$AP$5:$AP$21,0))</f>
        <v>0</v>
      </c>
    </row>
    <row r="190" spans="1:42" ht="13.5" x14ac:dyDescent="0.25">
      <c r="A190" s="191" t="s">
        <v>339</v>
      </c>
      <c r="B190" s="187">
        <v>0</v>
      </c>
      <c r="C190" s="187">
        <v>0</v>
      </c>
      <c r="D190" s="187">
        <v>0</v>
      </c>
      <c r="E190" s="187">
        <v>0</v>
      </c>
      <c r="F190" s="187">
        <v>0</v>
      </c>
      <c r="G190" s="187"/>
      <c r="H190" s="180">
        <v>0</v>
      </c>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v>0</v>
      </c>
      <c r="AP190" s="180">
        <v>0</v>
      </c>
    </row>
    <row r="191" spans="1:42" ht="13.5" x14ac:dyDescent="0.25">
      <c r="A191" s="191" t="s">
        <v>340</v>
      </c>
      <c r="B191" s="180" t="e">
        <f t="array" ref="B191">SUM(IF(#REF!="Own Funds",$C$5:$C$16,0))</f>
        <v>#REF!</v>
      </c>
      <c r="C191" s="180" t="e">
        <f t="array" ref="C191">SUM(IF(#REF!="Own Funds",$C$5:$C$16,0))</f>
        <v>#REF!</v>
      </c>
      <c r="D191" s="180" t="e">
        <f t="array" ref="D191">SUM(IF(#REF!="Own Funds",$C$5:$C$16,0))</f>
        <v>#REF!</v>
      </c>
      <c r="E191" s="180" t="e">
        <f t="array" ref="E191">SUM(IF(#REF!="Own Funds",$C$5:$C$16,0))</f>
        <v>#REF!</v>
      </c>
      <c r="F191" s="180" t="e">
        <f t="array" ref="F191">SUM(IF(#REF!="Own Funds",$C$5:$C$16,0))</f>
        <v>#REF!</v>
      </c>
      <c r="G191" s="180"/>
      <c r="H191" s="180">
        <f t="array" ref="H191">SUM(IF($AT$5:$AT$21="Own Funds",$H$5:$H$21,0))</f>
        <v>241225697</v>
      </c>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f t="array" ref="AO191">SUM(IF($AT$5:$AT$21="Own Funds",$AO$5:$AO$21,0))</f>
        <v>256870661</v>
      </c>
      <c r="AP191" s="180">
        <f t="array" ref="AP191">SUM(IF($AT$5:$AT$21="Own Funds",$AP$5:$AP$21,0))</f>
        <v>270555051</v>
      </c>
    </row>
    <row r="192" spans="1:42" ht="13.5" x14ac:dyDescent="0.25">
      <c r="A192" s="192" t="s">
        <v>341</v>
      </c>
      <c r="B192" s="193" t="e">
        <f>SUM(B188:B191)</f>
        <v>#REF!</v>
      </c>
      <c r="C192" s="193" t="e">
        <f>SUM(C188:C191)</f>
        <v>#REF!</v>
      </c>
      <c r="D192" s="193" t="e">
        <f>SUM(D188:D191)</f>
        <v>#REF!</v>
      </c>
      <c r="E192" s="193" t="e">
        <f>SUM(E188:E191)</f>
        <v>#REF!</v>
      </c>
      <c r="F192" s="193" t="e">
        <f>SUM(F188:F191)</f>
        <v>#REF!</v>
      </c>
      <c r="G192" s="193"/>
      <c r="H192" s="193">
        <f>SUM(H188:H191)</f>
        <v>942007423</v>
      </c>
      <c r="I192" s="193"/>
      <c r="J192" s="193"/>
      <c r="K192" s="193"/>
      <c r="L192" s="193"/>
      <c r="M192" s="193"/>
      <c r="N192" s="193"/>
      <c r="O192" s="193"/>
      <c r="P192" s="193"/>
      <c r="Q192" s="193"/>
      <c r="R192" s="193"/>
      <c r="S192" s="193"/>
      <c r="T192" s="193"/>
      <c r="U192" s="193"/>
      <c r="V192" s="193"/>
      <c r="W192" s="193"/>
      <c r="X192" s="193"/>
      <c r="Y192" s="193"/>
      <c r="Z192" s="193"/>
      <c r="AA192" s="193"/>
      <c r="AB192" s="193"/>
      <c r="AC192" s="193"/>
      <c r="AD192" s="193"/>
      <c r="AE192" s="193"/>
      <c r="AF192" s="193"/>
      <c r="AG192" s="193"/>
      <c r="AH192" s="193"/>
      <c r="AI192" s="193"/>
      <c r="AJ192" s="193"/>
      <c r="AK192" s="193"/>
      <c r="AL192" s="193"/>
      <c r="AM192" s="193"/>
      <c r="AN192" s="193"/>
      <c r="AO192" s="193">
        <f>SUM(AO188:AO191)</f>
        <v>1382127261</v>
      </c>
      <c r="AP192" s="193">
        <f>SUM(AP188:AP191)</f>
        <v>1385226151</v>
      </c>
    </row>
    <row r="193" spans="1:42" x14ac:dyDescent="0.2">
      <c r="A193" s="194"/>
      <c r="B193" s="133"/>
      <c r="C193" s="133"/>
      <c r="D193" s="133"/>
      <c r="E193" s="133"/>
      <c r="F193" s="133"/>
      <c r="G193" s="133"/>
      <c r="H193" s="133"/>
      <c r="I193" s="133"/>
      <c r="J193" s="133"/>
      <c r="K193" s="133"/>
      <c r="L193" s="133"/>
      <c r="M193" s="133"/>
      <c r="N193" s="133"/>
      <c r="O193" s="133"/>
      <c r="P193" s="133"/>
      <c r="Q193" s="133"/>
      <c r="R193" s="133"/>
      <c r="S193" s="133"/>
      <c r="T193" s="133"/>
      <c r="U193" s="133"/>
      <c r="V193" s="133"/>
      <c r="W193" s="133"/>
      <c r="X193" s="133"/>
      <c r="Y193" s="133"/>
      <c r="Z193" s="133"/>
      <c r="AA193" s="133"/>
      <c r="AB193" s="133"/>
      <c r="AC193" s="133"/>
      <c r="AD193" s="133"/>
      <c r="AE193" s="133"/>
      <c r="AF193" s="133"/>
      <c r="AG193" s="133"/>
      <c r="AH193" s="133"/>
      <c r="AI193" s="133"/>
      <c r="AJ193" s="133"/>
      <c r="AK193" s="133"/>
      <c r="AL193" s="133"/>
      <c r="AM193" s="133"/>
      <c r="AN193" s="133"/>
      <c r="AO193" s="133"/>
      <c r="AP193" s="133"/>
    </row>
    <row r="194" spans="1:42" x14ac:dyDescent="0.2">
      <c r="A194" s="194"/>
      <c r="B194" s="194"/>
      <c r="C194" s="194"/>
      <c r="D194" s="194"/>
      <c r="E194" s="194"/>
      <c r="F194" s="194"/>
      <c r="G194" s="194"/>
      <c r="H194" s="304" t="s">
        <v>403</v>
      </c>
      <c r="I194" s="304"/>
      <c r="J194" s="304"/>
      <c r="K194" s="304"/>
      <c r="L194" s="304"/>
      <c r="M194" s="304"/>
      <c r="N194" s="304"/>
      <c r="O194" s="304"/>
      <c r="P194" s="304"/>
      <c r="Q194" s="304"/>
      <c r="R194" s="304"/>
      <c r="S194" s="304"/>
      <c r="T194" s="304"/>
      <c r="U194" s="304"/>
      <c r="V194" s="304"/>
      <c r="W194" s="304"/>
      <c r="X194" s="304"/>
      <c r="Y194" s="304"/>
      <c r="Z194" s="304"/>
      <c r="AA194" s="304"/>
      <c r="AB194" s="304"/>
      <c r="AC194" s="304"/>
      <c r="AD194" s="304"/>
      <c r="AE194" s="304"/>
      <c r="AF194" s="304"/>
      <c r="AG194" s="304"/>
      <c r="AH194" s="304"/>
      <c r="AI194" s="304"/>
      <c r="AJ194" s="304"/>
      <c r="AK194" s="304"/>
      <c r="AL194" s="304"/>
      <c r="AM194" s="304"/>
      <c r="AN194" s="304"/>
      <c r="AO194" s="194"/>
      <c r="AP194" s="194"/>
    </row>
    <row r="195" spans="1:42" ht="22.5" x14ac:dyDescent="0.2">
      <c r="A195" s="199" t="s">
        <v>346</v>
      </c>
      <c r="B195" s="300" t="s">
        <v>318</v>
      </c>
      <c r="C195" s="300" t="s">
        <v>318</v>
      </c>
      <c r="D195" s="300" t="s">
        <v>318</v>
      </c>
      <c r="E195" s="300" t="s">
        <v>318</v>
      </c>
      <c r="F195" s="300" t="s">
        <v>318</v>
      </c>
      <c r="G195" s="171"/>
      <c r="H195" s="172" t="s">
        <v>319</v>
      </c>
      <c r="I195" s="172"/>
      <c r="J195" s="172"/>
      <c r="K195" s="172"/>
      <c r="L195" s="172"/>
      <c r="M195" s="172"/>
      <c r="N195" s="172"/>
      <c r="O195" s="172"/>
      <c r="P195" s="172"/>
      <c r="Q195" s="172"/>
      <c r="R195" s="172"/>
      <c r="S195" s="172"/>
      <c r="T195" s="172"/>
      <c r="U195" s="172"/>
      <c r="V195" s="172"/>
      <c r="W195" s="172"/>
      <c r="X195" s="172"/>
      <c r="Y195" s="172"/>
      <c r="Z195" s="172"/>
      <c r="AA195" s="172"/>
      <c r="AB195" s="172"/>
      <c r="AC195" s="172"/>
      <c r="AD195" s="172"/>
      <c r="AE195" s="172"/>
      <c r="AF195" s="172"/>
      <c r="AG195" s="172"/>
      <c r="AH195" s="172"/>
      <c r="AI195" s="172"/>
      <c r="AJ195" s="172"/>
      <c r="AK195" s="172"/>
      <c r="AL195" s="172"/>
      <c r="AM195" s="172"/>
      <c r="AN195" s="172"/>
      <c r="AO195" s="172" t="s">
        <v>319</v>
      </c>
      <c r="AP195" s="172" t="s">
        <v>319</v>
      </c>
    </row>
    <row r="196" spans="1:42" ht="13.5" x14ac:dyDescent="0.25">
      <c r="A196" s="200" t="s">
        <v>347</v>
      </c>
      <c r="B196" s="201"/>
      <c r="C196" s="201"/>
      <c r="D196" s="201"/>
      <c r="E196" s="201"/>
      <c r="F196" s="201"/>
      <c r="G196" s="201"/>
      <c r="H196" s="202"/>
      <c r="I196" s="202"/>
      <c r="J196" s="202"/>
      <c r="K196" s="202"/>
      <c r="L196" s="202"/>
      <c r="M196" s="202"/>
      <c r="N196" s="202"/>
      <c r="O196" s="202"/>
      <c r="P196" s="202"/>
      <c r="Q196" s="202"/>
      <c r="R196" s="202"/>
      <c r="S196" s="202"/>
      <c r="T196" s="202"/>
      <c r="U196" s="202"/>
      <c r="V196" s="202"/>
      <c r="W196" s="202"/>
      <c r="X196" s="202"/>
      <c r="Y196" s="202"/>
      <c r="Z196" s="202"/>
      <c r="AA196" s="202"/>
      <c r="AB196" s="202"/>
      <c r="AC196" s="202"/>
      <c r="AD196" s="202"/>
      <c r="AE196" s="202"/>
      <c r="AF196" s="202"/>
      <c r="AG196" s="202"/>
      <c r="AH196" s="202"/>
      <c r="AI196" s="202"/>
      <c r="AJ196" s="202"/>
      <c r="AK196" s="202"/>
      <c r="AL196" s="202"/>
      <c r="AM196" s="202"/>
      <c r="AN196" s="202"/>
      <c r="AO196" s="202"/>
      <c r="AP196" s="202"/>
    </row>
    <row r="197" spans="1:42" ht="13.5" x14ac:dyDescent="0.25">
      <c r="A197" s="203"/>
      <c r="B197" s="204"/>
      <c r="C197" s="204"/>
      <c r="D197" s="204"/>
      <c r="E197" s="204"/>
      <c r="F197" s="204"/>
      <c r="G197" s="204"/>
      <c r="H197" s="204"/>
      <c r="I197" s="204"/>
      <c r="J197" s="204"/>
      <c r="K197" s="204"/>
      <c r="L197" s="204"/>
      <c r="M197" s="204"/>
      <c r="N197" s="204"/>
      <c r="O197" s="204"/>
      <c r="P197" s="204"/>
      <c r="Q197" s="204"/>
      <c r="R197" s="204"/>
      <c r="S197" s="204"/>
      <c r="T197" s="204"/>
      <c r="U197" s="204"/>
      <c r="V197" s="204"/>
      <c r="W197" s="204"/>
      <c r="X197" s="204"/>
      <c r="Y197" s="204"/>
      <c r="Z197" s="204"/>
      <c r="AA197" s="204"/>
      <c r="AB197" s="204"/>
      <c r="AC197" s="204"/>
      <c r="AD197" s="204"/>
      <c r="AE197" s="204"/>
      <c r="AF197" s="204"/>
      <c r="AG197" s="204"/>
      <c r="AH197" s="204"/>
      <c r="AI197" s="204"/>
      <c r="AJ197" s="204"/>
      <c r="AK197" s="204"/>
      <c r="AL197" s="204"/>
      <c r="AM197" s="204"/>
      <c r="AN197" s="204"/>
      <c r="AO197" s="204"/>
      <c r="AP197" s="204"/>
    </row>
    <row r="198" spans="1:42" ht="13.5" x14ac:dyDescent="0.25">
      <c r="A198" s="203" t="s">
        <v>0</v>
      </c>
      <c r="B198" s="205" t="e">
        <f>B199+B202+B206+B210+B213</f>
        <v>#REF!</v>
      </c>
      <c r="C198" s="205" t="e">
        <f>C199+C202+C206+C210+C213</f>
        <v>#REF!</v>
      </c>
      <c r="D198" s="205" t="e">
        <f>D199+D202+D206+D210+D213</f>
        <v>#REF!</v>
      </c>
      <c r="E198" s="205" t="e">
        <f>E199+E202+E206+E210+E213</f>
        <v>#REF!</v>
      </c>
      <c r="F198" s="205" t="e">
        <f>F199+F202+F206+F210+F213</f>
        <v>#REF!</v>
      </c>
      <c r="G198" s="205"/>
      <c r="H198" s="205">
        <f>H199+H202+H206+H210+H213</f>
        <v>225500000</v>
      </c>
      <c r="I198" s="205"/>
      <c r="J198" s="205"/>
      <c r="K198" s="205"/>
      <c r="L198" s="205"/>
      <c r="M198" s="205"/>
      <c r="N198" s="205"/>
      <c r="O198" s="205"/>
      <c r="P198" s="205"/>
      <c r="Q198" s="205"/>
      <c r="R198" s="205"/>
      <c r="S198" s="205"/>
      <c r="T198" s="205"/>
      <c r="U198" s="205"/>
      <c r="V198" s="205"/>
      <c r="W198" s="205"/>
      <c r="X198" s="205"/>
      <c r="Y198" s="205"/>
      <c r="Z198" s="205"/>
      <c r="AA198" s="205"/>
      <c r="AB198" s="205"/>
      <c r="AC198" s="205"/>
      <c r="AD198" s="205"/>
      <c r="AE198" s="205"/>
      <c r="AF198" s="205"/>
      <c r="AG198" s="205"/>
      <c r="AH198" s="205"/>
      <c r="AI198" s="205"/>
      <c r="AJ198" s="205"/>
      <c r="AK198" s="205"/>
      <c r="AL198" s="205"/>
      <c r="AM198" s="205"/>
      <c r="AN198" s="205"/>
      <c r="AO198" s="205">
        <f>AO199+AO202+AO206+AO210+AO213</f>
        <v>577210100</v>
      </c>
      <c r="AP198" s="205">
        <f>AP199+AP202+AP206+AP210+AP213</f>
        <v>540412415</v>
      </c>
    </row>
    <row r="199" spans="1:42" ht="13.5" x14ac:dyDescent="0.25">
      <c r="A199" s="196" t="s">
        <v>348</v>
      </c>
      <c r="B199" s="206" t="e">
        <f>SUM(B200:B201)</f>
        <v>#REF!</v>
      </c>
      <c r="C199" s="206" t="e">
        <f>SUM(C200:C201)</f>
        <v>#REF!</v>
      </c>
      <c r="D199" s="206" t="e">
        <f>SUM(D200:D201)</f>
        <v>#REF!</v>
      </c>
      <c r="E199" s="206" t="e">
        <f>SUM(E200:E201)</f>
        <v>#REF!</v>
      </c>
      <c r="F199" s="206" t="e">
        <f>SUM(F200:F201)</f>
        <v>#REF!</v>
      </c>
      <c r="G199" s="206"/>
      <c r="H199" s="206">
        <f>SUM(H200:H201)</f>
        <v>110000000</v>
      </c>
      <c r="I199" s="206"/>
      <c r="J199" s="206"/>
      <c r="K199" s="206"/>
      <c r="L199" s="206"/>
      <c r="M199" s="206"/>
      <c r="N199" s="206"/>
      <c r="O199" s="206"/>
      <c r="P199" s="206"/>
      <c r="Q199" s="206"/>
      <c r="R199" s="206"/>
      <c r="S199" s="206"/>
      <c r="T199" s="206"/>
      <c r="U199" s="206"/>
      <c r="V199" s="206"/>
      <c r="W199" s="206"/>
      <c r="X199" s="206"/>
      <c r="Y199" s="206"/>
      <c r="Z199" s="206"/>
      <c r="AA199" s="206"/>
      <c r="AB199" s="206"/>
      <c r="AC199" s="206"/>
      <c r="AD199" s="206"/>
      <c r="AE199" s="206"/>
      <c r="AF199" s="206"/>
      <c r="AG199" s="206"/>
      <c r="AH199" s="206"/>
      <c r="AI199" s="206"/>
      <c r="AJ199" s="206"/>
      <c r="AK199" s="206"/>
      <c r="AL199" s="206"/>
      <c r="AM199" s="206"/>
      <c r="AN199" s="206"/>
      <c r="AO199" s="206">
        <f>SUM(AO200:AO201)</f>
        <v>450000000</v>
      </c>
      <c r="AP199" s="206">
        <f>SUM(AP200:AP201)</f>
        <v>400000000</v>
      </c>
    </row>
    <row r="200" spans="1:42" ht="13.5" x14ac:dyDescent="0.25">
      <c r="A200" s="207" t="s">
        <v>349</v>
      </c>
      <c r="B200" s="179" t="e">
        <f t="array" ref="B200">SUM(IF('[5]2013-2016 Projects'!$O$4:$O$202="New-30",'[5]2013-2016 Projects'!$V$4:$V$202,0))</f>
        <v>#REF!</v>
      </c>
      <c r="C200" s="179" t="e">
        <f t="array" ref="C200">SUM(IF('[5]2013-2016 Projects'!$O$4:$O$202="New-30",'[5]2013-2016 Projects'!$V$4:$V$202,0))</f>
        <v>#REF!</v>
      </c>
      <c r="D200" s="179" t="e">
        <f t="array" ref="D200">SUM(IF('[5]2013-2016 Projects'!$O$4:$O$202="New-30",'[5]2013-2016 Projects'!$V$4:$V$202,0))</f>
        <v>#REF!</v>
      </c>
      <c r="E200" s="179" t="e">
        <f t="array" ref="E200">SUM(IF('[5]2013-2016 Projects'!$O$4:$O$202="New-30",'[5]2013-2016 Projects'!$V$4:$V$202,0))</f>
        <v>#REF!</v>
      </c>
      <c r="F200" s="179" t="e">
        <f t="array" ref="F200">SUM(IF('[5]2013-2016 Projects'!$O$4:$O$202="New-30",'[5]2013-2016 Projects'!$V$4:$V$202,0))</f>
        <v>#REF!</v>
      </c>
      <c r="G200" s="179"/>
      <c r="H200" s="179">
        <f t="array" ref="H200">SUM(IF('2014-2017 Projects'!$T$5:$T$258="New-30",'2014-2017 Projects'!$AK$5:$AK$258,0))</f>
        <v>110000000</v>
      </c>
      <c r="I200" s="179"/>
      <c r="J200" s="179"/>
      <c r="K200" s="179"/>
      <c r="L200" s="179"/>
      <c r="M200" s="179"/>
      <c r="N200" s="179"/>
      <c r="O200" s="179"/>
      <c r="P200" s="179"/>
      <c r="Q200" s="179"/>
      <c r="R200" s="179"/>
      <c r="S200" s="179"/>
      <c r="T200" s="179"/>
      <c r="U200" s="179"/>
      <c r="V200" s="179"/>
      <c r="W200" s="179"/>
      <c r="X200" s="179"/>
      <c r="Y200" s="179"/>
      <c r="Z200" s="179"/>
      <c r="AA200" s="179"/>
      <c r="AB200" s="179"/>
      <c r="AC200" s="179"/>
      <c r="AD200" s="179"/>
      <c r="AE200" s="179"/>
      <c r="AF200" s="179"/>
      <c r="AG200" s="179"/>
      <c r="AH200" s="179"/>
      <c r="AI200" s="179"/>
      <c r="AJ200" s="179"/>
      <c r="AK200" s="179"/>
      <c r="AL200" s="179"/>
      <c r="AM200" s="179"/>
      <c r="AN200" s="179"/>
      <c r="AO200" s="179">
        <f t="array" ref="AO200">SUM(IF('2014-2017 Projects'!$T$5:$T$258="New-30",'2014-2017 Projects'!$CG$5:$CG$258,0))</f>
        <v>450000000</v>
      </c>
      <c r="AP200" s="179">
        <f t="array" ref="AP200">SUM(IF('2014-2017 Projects'!$T$5:$T$258="New-30",'2014-2017 Projects'!$CH$5:$CH$258,0))</f>
        <v>400000000</v>
      </c>
    </row>
    <row r="201" spans="1:42" ht="13.5" x14ac:dyDescent="0.25">
      <c r="A201" s="207" t="s">
        <v>350</v>
      </c>
      <c r="B201" s="179"/>
      <c r="C201" s="179"/>
      <c r="D201" s="179"/>
      <c r="E201" s="179"/>
      <c r="F201" s="179"/>
      <c r="G201" s="179"/>
      <c r="H201" s="179"/>
      <c r="I201" s="179"/>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c r="AP201" s="179"/>
    </row>
    <row r="202" spans="1:42" ht="13.5" x14ac:dyDescent="0.25">
      <c r="A202" s="196" t="s">
        <v>351</v>
      </c>
      <c r="B202" s="197" t="e">
        <f>SUM(B203:B205)</f>
        <v>#REF!</v>
      </c>
      <c r="C202" s="197" t="e">
        <f>SUM(C203:C205)</f>
        <v>#REF!</v>
      </c>
      <c r="D202" s="197" t="e">
        <f>SUM(D203:D205)</f>
        <v>#REF!</v>
      </c>
      <c r="E202" s="197" t="e">
        <f>SUM(E203:E205)</f>
        <v>#REF!</v>
      </c>
      <c r="F202" s="197" t="e">
        <f>SUM(F203:F205)</f>
        <v>#REF!</v>
      </c>
      <c r="G202" s="197"/>
      <c r="H202" s="197">
        <f>SUM(H203:H205)</f>
        <v>45500000</v>
      </c>
      <c r="I202" s="197"/>
      <c r="J202" s="197"/>
      <c r="K202" s="197"/>
      <c r="L202" s="197"/>
      <c r="M202" s="197"/>
      <c r="N202" s="197"/>
      <c r="O202" s="197"/>
      <c r="P202" s="197"/>
      <c r="Q202" s="197"/>
      <c r="R202" s="197"/>
      <c r="S202" s="197"/>
      <c r="T202" s="197"/>
      <c r="U202" s="197"/>
      <c r="V202" s="197"/>
      <c r="W202" s="197"/>
      <c r="X202" s="197"/>
      <c r="Y202" s="197"/>
      <c r="Z202" s="197"/>
      <c r="AA202" s="197"/>
      <c r="AB202" s="197"/>
      <c r="AC202" s="197"/>
      <c r="AD202" s="197"/>
      <c r="AE202" s="197"/>
      <c r="AF202" s="197"/>
      <c r="AG202" s="197"/>
      <c r="AH202" s="197"/>
      <c r="AI202" s="197"/>
      <c r="AJ202" s="197"/>
      <c r="AK202" s="197"/>
      <c r="AL202" s="197"/>
      <c r="AM202" s="197"/>
      <c r="AN202" s="197"/>
      <c r="AO202" s="197">
        <f>SUM(AO203:AO205)</f>
        <v>50500000</v>
      </c>
      <c r="AP202" s="197">
        <f>SUM(AP203:AP205)</f>
        <v>40500000</v>
      </c>
    </row>
    <row r="203" spans="1:42" ht="13.5" x14ac:dyDescent="0.25">
      <c r="A203" s="207" t="s">
        <v>352</v>
      </c>
      <c r="B203" s="179"/>
      <c r="C203" s="179"/>
      <c r="D203" s="179"/>
      <c r="E203" s="179"/>
      <c r="F203" s="179"/>
      <c r="G203" s="179"/>
      <c r="H203" s="179"/>
      <c r="I203" s="179"/>
      <c r="J203" s="179"/>
      <c r="K203" s="179"/>
      <c r="L203" s="179"/>
      <c r="M203" s="179"/>
      <c r="N203" s="179"/>
      <c r="O203" s="179"/>
      <c r="P203" s="179"/>
      <c r="Q203" s="179"/>
      <c r="R203" s="179"/>
      <c r="S203" s="179"/>
      <c r="T203" s="179"/>
      <c r="U203" s="179"/>
      <c r="V203" s="179"/>
      <c r="W203" s="179"/>
      <c r="X203" s="179"/>
      <c r="Y203" s="179"/>
      <c r="Z203" s="179"/>
      <c r="AA203" s="179"/>
      <c r="AB203" s="179"/>
      <c r="AC203" s="179"/>
      <c r="AD203" s="179"/>
      <c r="AE203" s="179"/>
      <c r="AF203" s="179"/>
      <c r="AG203" s="179"/>
      <c r="AH203" s="179"/>
      <c r="AI203" s="179"/>
      <c r="AJ203" s="179"/>
      <c r="AK203" s="179"/>
      <c r="AL203" s="179"/>
      <c r="AM203" s="179"/>
      <c r="AN203" s="179"/>
      <c r="AO203" s="179"/>
      <c r="AP203" s="179"/>
    </row>
    <row r="204" spans="1:42" ht="13.5" x14ac:dyDescent="0.25">
      <c r="A204" s="207" t="s">
        <v>353</v>
      </c>
      <c r="B204" s="179" t="e">
        <f t="array" ref="B204">SUM(IF('[5]2013-2016 Projects'!$O$4:$O$202="New-60",'[5]2013-2016 Projects'!$V$4:$V$202,0))</f>
        <v>#REF!</v>
      </c>
      <c r="C204" s="179" t="e">
        <f t="array" ref="C204">SUM(IF('[5]2013-2016 Projects'!$O$4:$O$202="New-60",'[5]2013-2016 Projects'!$V$4:$V$202,0))</f>
        <v>#REF!</v>
      </c>
      <c r="D204" s="179" t="e">
        <f t="array" ref="D204">SUM(IF('[5]2013-2016 Projects'!$O$4:$O$202="New-60",'[5]2013-2016 Projects'!$V$4:$V$202,0))</f>
        <v>#REF!</v>
      </c>
      <c r="E204" s="179" t="e">
        <f t="array" ref="E204">SUM(IF('[5]2013-2016 Projects'!$O$4:$O$202="New-60",'[5]2013-2016 Projects'!$V$4:$V$202,0))</f>
        <v>#REF!</v>
      </c>
      <c r="F204" s="179" t="e">
        <f t="array" ref="F204">SUM(IF('[5]2013-2016 Projects'!$O$4:$O$202="New-60",'[5]2013-2016 Projects'!$V$4:$V$202,0))</f>
        <v>#REF!</v>
      </c>
      <c r="G204" s="179"/>
      <c r="H204" s="179">
        <f t="array" ref="H204">SUM(IF('2014-2017 Projects'!$T$5:$T$258="New-60",'2014-2017 Projects'!$AK$5:$AK$258,0))</f>
        <v>45500000</v>
      </c>
      <c r="I204" s="179"/>
      <c r="J204" s="179"/>
      <c r="K204" s="179"/>
      <c r="L204" s="179"/>
      <c r="M204" s="179"/>
      <c r="N204" s="179"/>
      <c r="O204" s="179"/>
      <c r="P204" s="179"/>
      <c r="Q204" s="179"/>
      <c r="R204" s="179"/>
      <c r="S204" s="179"/>
      <c r="T204" s="179"/>
      <c r="U204" s="179"/>
      <c r="V204" s="179"/>
      <c r="W204" s="179"/>
      <c r="X204" s="179"/>
      <c r="Y204" s="179"/>
      <c r="Z204" s="179"/>
      <c r="AA204" s="179"/>
      <c r="AB204" s="179"/>
      <c r="AC204" s="179"/>
      <c r="AD204" s="179"/>
      <c r="AE204" s="179"/>
      <c r="AF204" s="179"/>
      <c r="AG204" s="179"/>
      <c r="AH204" s="179"/>
      <c r="AI204" s="179"/>
      <c r="AJ204" s="179"/>
      <c r="AK204" s="179"/>
      <c r="AL204" s="179"/>
      <c r="AM204" s="179"/>
      <c r="AN204" s="179"/>
      <c r="AO204" s="179">
        <f t="array" ref="AO204">SUM(IF('2014-2017 Projects'!$T$5:$T$258="New-60",'2014-2017 Projects'!$CG$5:$CG$258,0))</f>
        <v>50500000</v>
      </c>
      <c r="AP204" s="179">
        <f t="array" ref="AP204">SUM(IF('2014-2017 Projects'!$T$5:$T$258="New-60",'2014-2017 Projects'!$CH$5:$CH$258,0))</f>
        <v>40500000</v>
      </c>
    </row>
    <row r="205" spans="1:42" ht="13.5" x14ac:dyDescent="0.25">
      <c r="A205" s="207" t="s">
        <v>354</v>
      </c>
      <c r="B205" s="179" t="e">
        <f t="array" ref="B205">SUM(IF('[5]2013-2016 Projects'!$O$4:$O$202="New-90",'[5]2013-2016 Projects'!$V$4:$V$202,0))</f>
        <v>#REF!</v>
      </c>
      <c r="C205" s="179" t="e">
        <f t="array" ref="C205">SUM(IF('[5]2013-2016 Projects'!$O$4:$O$202="New-90",'[5]2013-2016 Projects'!$V$4:$V$202,0))</f>
        <v>#REF!</v>
      </c>
      <c r="D205" s="179" t="e">
        <f t="array" ref="D205">SUM(IF('[5]2013-2016 Projects'!$O$4:$O$202="New-90",'[5]2013-2016 Projects'!$V$4:$V$202,0))</f>
        <v>#REF!</v>
      </c>
      <c r="E205" s="179" t="e">
        <f t="array" ref="E205">SUM(IF('[5]2013-2016 Projects'!$O$4:$O$202="New-90",'[5]2013-2016 Projects'!$V$4:$V$202,0))</f>
        <v>#REF!</v>
      </c>
      <c r="F205" s="179" t="e">
        <f t="array" ref="F205">SUM(IF('[5]2013-2016 Projects'!$O$4:$O$202="New-90",'[5]2013-2016 Projects'!$V$4:$V$202,0))</f>
        <v>#REF!</v>
      </c>
      <c r="G205" s="179"/>
      <c r="H205" s="179">
        <f t="array" ref="H205">SUM(IF('2014-2017 Projects'!$T$5:$T$258="New-90",'2014-2017 Projects'!$AK$5:$AK$258,0))</f>
        <v>0</v>
      </c>
      <c r="I205" s="179"/>
      <c r="J205" s="179"/>
      <c r="K205" s="179"/>
      <c r="L205" s="179"/>
      <c r="M205" s="179"/>
      <c r="N205" s="179"/>
      <c r="O205" s="179"/>
      <c r="P205" s="179"/>
      <c r="Q205" s="179"/>
      <c r="R205" s="179"/>
      <c r="S205" s="179"/>
      <c r="T205" s="179"/>
      <c r="U205" s="179"/>
      <c r="V205" s="179"/>
      <c r="W205" s="179"/>
      <c r="X205" s="179"/>
      <c r="Y205" s="179"/>
      <c r="Z205" s="179"/>
      <c r="AA205" s="179"/>
      <c r="AB205" s="179"/>
      <c r="AC205" s="179"/>
      <c r="AD205" s="179"/>
      <c r="AE205" s="179"/>
      <c r="AF205" s="179"/>
      <c r="AG205" s="179"/>
      <c r="AH205" s="179"/>
      <c r="AI205" s="179"/>
      <c r="AJ205" s="179"/>
      <c r="AK205" s="179"/>
      <c r="AL205" s="179"/>
      <c r="AM205" s="179"/>
      <c r="AN205" s="179"/>
      <c r="AO205" s="179">
        <f t="array" ref="AO205">SUM(IF('2014-2017 Projects'!$T$5:$T$258="New-90",'2014-2017 Projects'!$CG$5:$CG$258,0))</f>
        <v>0</v>
      </c>
      <c r="AP205" s="179">
        <f t="array" ref="AP205">SUM(IF('2014-2017 Projects'!$T$5:$T$258="New-90",'2014-2017 Projects'!$CH$5:$CH$258,0))</f>
        <v>0</v>
      </c>
    </row>
    <row r="206" spans="1:42" ht="13.5" x14ac:dyDescent="0.25">
      <c r="A206" s="195" t="s">
        <v>355</v>
      </c>
      <c r="B206" s="197" t="e">
        <f>SUM(B207:B209)</f>
        <v>#REF!</v>
      </c>
      <c r="C206" s="197" t="e">
        <f>SUM(C207:C209)</f>
        <v>#REF!</v>
      </c>
      <c r="D206" s="197" t="e">
        <f>SUM(D207:D209)</f>
        <v>#REF!</v>
      </c>
      <c r="E206" s="197" t="e">
        <f>SUM(E207:E209)</f>
        <v>#REF!</v>
      </c>
      <c r="F206" s="197" t="e">
        <f>SUM(F207:F209)</f>
        <v>#REF!</v>
      </c>
      <c r="G206" s="197"/>
      <c r="H206" s="197">
        <f>SUM(H207:H209)</f>
        <v>0</v>
      </c>
      <c r="I206" s="197"/>
      <c r="J206" s="197"/>
      <c r="K206" s="197"/>
      <c r="L206" s="197"/>
      <c r="M206" s="197"/>
      <c r="N206" s="197"/>
      <c r="O206" s="197"/>
      <c r="P206" s="197"/>
      <c r="Q206" s="197"/>
      <c r="R206" s="197"/>
      <c r="S206" s="197"/>
      <c r="T206" s="197"/>
      <c r="U206" s="197"/>
      <c r="V206" s="197"/>
      <c r="W206" s="197"/>
      <c r="X206" s="197"/>
      <c r="Y206" s="197"/>
      <c r="Z206" s="197"/>
      <c r="AA206" s="197"/>
      <c r="AB206" s="197"/>
      <c r="AC206" s="197"/>
      <c r="AD206" s="197"/>
      <c r="AE206" s="197"/>
      <c r="AF206" s="197"/>
      <c r="AG206" s="197"/>
      <c r="AH206" s="197"/>
      <c r="AI206" s="197"/>
      <c r="AJ206" s="197"/>
      <c r="AK206" s="197"/>
      <c r="AL206" s="197"/>
      <c r="AM206" s="197"/>
      <c r="AN206" s="197"/>
      <c r="AO206" s="197">
        <f>SUM(AO207:AO209)</f>
        <v>0</v>
      </c>
      <c r="AP206" s="197">
        <f>SUM(AP207:AP209)</f>
        <v>0</v>
      </c>
    </row>
    <row r="207" spans="1:42" ht="13.5" x14ac:dyDescent="0.25">
      <c r="A207" s="207" t="s">
        <v>356</v>
      </c>
      <c r="B207" s="180"/>
      <c r="C207" s="180"/>
      <c r="D207" s="180"/>
      <c r="E207" s="180"/>
      <c r="F207" s="180"/>
      <c r="G207" s="180"/>
      <c r="H207" s="180"/>
      <c r="I207" s="180"/>
      <c r="J207" s="180"/>
      <c r="K207" s="180"/>
      <c r="L207" s="180"/>
      <c r="M207" s="180"/>
      <c r="N207" s="180"/>
      <c r="O207" s="180"/>
      <c r="P207" s="180"/>
      <c r="Q207" s="180"/>
      <c r="R207" s="180"/>
      <c r="S207" s="180"/>
      <c r="T207" s="180"/>
      <c r="U207" s="180"/>
      <c r="V207" s="180"/>
      <c r="W207" s="180"/>
      <c r="X207" s="180"/>
      <c r="Y207" s="180"/>
      <c r="Z207" s="180"/>
      <c r="AA207" s="180"/>
      <c r="AB207" s="180"/>
      <c r="AC207" s="180"/>
      <c r="AD207" s="180"/>
      <c r="AE207" s="180"/>
      <c r="AF207" s="180"/>
      <c r="AG207" s="180"/>
      <c r="AH207" s="180"/>
      <c r="AI207" s="180"/>
      <c r="AJ207" s="180"/>
      <c r="AK207" s="180"/>
      <c r="AL207" s="180"/>
      <c r="AM207" s="180"/>
      <c r="AN207" s="180"/>
      <c r="AO207" s="180"/>
      <c r="AP207" s="180"/>
    </row>
    <row r="208" spans="1:42" ht="13.5" x14ac:dyDescent="0.25">
      <c r="A208" s="207" t="s">
        <v>357</v>
      </c>
      <c r="B208" s="180"/>
      <c r="C208" s="180"/>
      <c r="D208" s="180"/>
      <c r="E208" s="180"/>
      <c r="F208" s="180"/>
      <c r="G208" s="180"/>
      <c r="H208" s="180"/>
      <c r="I208" s="180"/>
      <c r="J208" s="180"/>
      <c r="K208" s="180"/>
      <c r="L208" s="180"/>
      <c r="M208" s="180"/>
      <c r="N208" s="180"/>
      <c r="O208" s="180"/>
      <c r="P208" s="180"/>
      <c r="Q208" s="180"/>
      <c r="R208" s="180"/>
      <c r="S208" s="180"/>
      <c r="T208" s="180"/>
      <c r="U208" s="180"/>
      <c r="V208" s="180"/>
      <c r="W208" s="180"/>
      <c r="X208" s="180"/>
      <c r="Y208" s="180"/>
      <c r="Z208" s="180"/>
      <c r="AA208" s="180"/>
      <c r="AB208" s="180"/>
      <c r="AC208" s="180"/>
      <c r="AD208" s="180"/>
      <c r="AE208" s="180"/>
      <c r="AF208" s="180"/>
      <c r="AG208" s="180"/>
      <c r="AH208" s="180"/>
      <c r="AI208" s="180"/>
      <c r="AJ208" s="180"/>
      <c r="AK208" s="180"/>
      <c r="AL208" s="180"/>
      <c r="AM208" s="180"/>
      <c r="AN208" s="180"/>
      <c r="AO208" s="180"/>
      <c r="AP208" s="180"/>
    </row>
    <row r="209" spans="1:42" ht="13.5" x14ac:dyDescent="0.25">
      <c r="A209" s="207" t="s">
        <v>358</v>
      </c>
      <c r="B209" s="179" t="e">
        <f t="array" ref="B209">SUM(IF('[5]2013-2016 Projects'!$O$4:$O$202="New-40",'[5]2013-2016 Projects'!$V$4:$V$202,0))</f>
        <v>#REF!</v>
      </c>
      <c r="C209" s="179" t="e">
        <f t="array" ref="C209">SUM(IF('[5]2013-2016 Projects'!$O$4:$O$202="New-40",'[5]2013-2016 Projects'!$V$4:$V$202,0))</f>
        <v>#REF!</v>
      </c>
      <c r="D209" s="179" t="e">
        <f t="array" ref="D209">SUM(IF('[5]2013-2016 Projects'!$O$4:$O$202="New-40",'[5]2013-2016 Projects'!$V$4:$V$202,0))</f>
        <v>#REF!</v>
      </c>
      <c r="E209" s="179" t="e">
        <f t="array" ref="E209">SUM(IF('[5]2013-2016 Projects'!$O$4:$O$202="New-40",'[5]2013-2016 Projects'!$V$4:$V$202,0))</f>
        <v>#REF!</v>
      </c>
      <c r="F209" s="179" t="e">
        <f t="array" ref="F209">SUM(IF('[5]2013-2016 Projects'!$O$4:$O$202="New-40",'[5]2013-2016 Projects'!$V$4:$V$202,0))</f>
        <v>#REF!</v>
      </c>
      <c r="G209" s="179"/>
      <c r="H209" s="179">
        <f t="array" ref="H209">SUM(IF('2014-2017 Projects'!$T$5:$T$258="New-40",'2014-2017 Projects'!$AK$5:$AK$258,0))</f>
        <v>0</v>
      </c>
      <c r="I209" s="179"/>
      <c r="J209" s="179"/>
      <c r="K209" s="179"/>
      <c r="L209" s="179"/>
      <c r="M209" s="179"/>
      <c r="N209" s="179"/>
      <c r="O209" s="179"/>
      <c r="P209" s="179"/>
      <c r="Q209" s="179"/>
      <c r="R209" s="179"/>
      <c r="S209" s="179"/>
      <c r="T209" s="179"/>
      <c r="U209" s="179"/>
      <c r="V209" s="179"/>
      <c r="W209" s="179"/>
      <c r="X209" s="179"/>
      <c r="Y209" s="179"/>
      <c r="Z209" s="179"/>
      <c r="AA209" s="179"/>
      <c r="AB209" s="179"/>
      <c r="AC209" s="179"/>
      <c r="AD209" s="179"/>
      <c r="AE209" s="179"/>
      <c r="AF209" s="179"/>
      <c r="AG209" s="179"/>
      <c r="AH209" s="179"/>
      <c r="AI209" s="179"/>
      <c r="AJ209" s="179"/>
      <c r="AK209" s="179"/>
      <c r="AL209" s="179"/>
      <c r="AM209" s="179"/>
      <c r="AN209" s="179"/>
      <c r="AO209" s="179">
        <f t="array" ref="AO209">SUM(IF('2014-2017 Projects'!$T$5:$T$258="New-40",'2014-2017 Projects'!$CG$5:$CG$258,0))</f>
        <v>0</v>
      </c>
      <c r="AP209" s="179">
        <f t="array" ref="AP209">SUM(IF('2014-2017 Projects'!$T$5:$T$258="New-40",'2014-2017 Projects'!$CH$5:$CH$258,0))</f>
        <v>0</v>
      </c>
    </row>
    <row r="210" spans="1:42" ht="13.5" x14ac:dyDescent="0.25">
      <c r="A210" s="195" t="s">
        <v>359</v>
      </c>
      <c r="B210" s="197" t="e">
        <f>SUM(B211:B212)</f>
        <v>#REF!</v>
      </c>
      <c r="C210" s="197" t="e">
        <f>SUM(C211:C212)</f>
        <v>#REF!</v>
      </c>
      <c r="D210" s="197" t="e">
        <f>SUM(D211:D212)</f>
        <v>#REF!</v>
      </c>
      <c r="E210" s="197" t="e">
        <f>SUM(E211:E212)</f>
        <v>#REF!</v>
      </c>
      <c r="F210" s="197" t="e">
        <f>SUM(F211:F212)</f>
        <v>#REF!</v>
      </c>
      <c r="G210" s="197"/>
      <c r="H210" s="197">
        <f>SUM(H211:H212)</f>
        <v>0</v>
      </c>
      <c r="I210" s="197"/>
      <c r="J210" s="197"/>
      <c r="K210" s="197"/>
      <c r="L210" s="197"/>
      <c r="M210" s="197"/>
      <c r="N210" s="197"/>
      <c r="O210" s="197"/>
      <c r="P210" s="197"/>
      <c r="Q210" s="197"/>
      <c r="R210" s="197"/>
      <c r="S210" s="197"/>
      <c r="T210" s="197"/>
      <c r="U210" s="197"/>
      <c r="V210" s="197"/>
      <c r="W210" s="197"/>
      <c r="X210" s="197"/>
      <c r="Y210" s="197"/>
      <c r="Z210" s="197"/>
      <c r="AA210" s="197"/>
      <c r="AB210" s="197"/>
      <c r="AC210" s="197"/>
      <c r="AD210" s="197"/>
      <c r="AE210" s="197"/>
      <c r="AF210" s="197"/>
      <c r="AG210" s="197"/>
      <c r="AH210" s="197"/>
      <c r="AI210" s="197"/>
      <c r="AJ210" s="197"/>
      <c r="AK210" s="197"/>
      <c r="AL210" s="197"/>
      <c r="AM210" s="197"/>
      <c r="AN210" s="197"/>
      <c r="AO210" s="197">
        <f>SUM(AO211:AO212)</f>
        <v>0</v>
      </c>
      <c r="AP210" s="197">
        <f>SUM(AP211:AP212)</f>
        <v>0</v>
      </c>
    </row>
    <row r="211" spans="1:42" ht="13.5" x14ac:dyDescent="0.25">
      <c r="A211" s="207" t="s">
        <v>358</v>
      </c>
      <c r="B211" s="179" t="e">
        <f t="array" ref="B211">SUM(IF('[5]2013-2016 Projects'!$O$4:$O$202="New-70",'[5]2013-2016 Projects'!$V$4:$V$202,0))</f>
        <v>#REF!</v>
      </c>
      <c r="C211" s="179" t="e">
        <f t="array" ref="C211">SUM(IF('[5]2013-2016 Projects'!$O$4:$O$202="New-70",'[5]2013-2016 Projects'!$V$4:$V$202,0))</f>
        <v>#REF!</v>
      </c>
      <c r="D211" s="179" t="e">
        <f t="array" ref="D211">SUM(IF('[5]2013-2016 Projects'!$O$4:$O$202="New-70",'[5]2013-2016 Projects'!$V$4:$V$202,0))</f>
        <v>#REF!</v>
      </c>
      <c r="E211" s="179" t="e">
        <f t="array" ref="E211">SUM(IF('[5]2013-2016 Projects'!$O$4:$O$202="New-70",'[5]2013-2016 Projects'!$V$4:$V$202,0))</f>
        <v>#REF!</v>
      </c>
      <c r="F211" s="179" t="e">
        <f t="array" ref="F211">SUM(IF('[5]2013-2016 Projects'!$O$4:$O$202="New-70",'[5]2013-2016 Projects'!$V$4:$V$202,0))</f>
        <v>#REF!</v>
      </c>
      <c r="G211" s="179"/>
      <c r="H211" s="179">
        <f t="array" ref="H211">SUM(IF('2014-2017 Projects'!$T$5:$T$258="New-70",'2014-2017 Projects'!$AK$5:$AK$258,0))</f>
        <v>0</v>
      </c>
      <c r="I211" s="179"/>
      <c r="J211" s="179"/>
      <c r="K211" s="179"/>
      <c r="L211" s="179"/>
      <c r="M211" s="179"/>
      <c r="N211" s="179"/>
      <c r="O211" s="179"/>
      <c r="P211" s="179"/>
      <c r="Q211" s="179"/>
      <c r="R211" s="179"/>
      <c r="S211" s="179"/>
      <c r="T211" s="179"/>
      <c r="U211" s="179"/>
      <c r="V211" s="179"/>
      <c r="W211" s="179"/>
      <c r="X211" s="179"/>
      <c r="Y211" s="179"/>
      <c r="Z211" s="179"/>
      <c r="AA211" s="179"/>
      <c r="AB211" s="179"/>
      <c r="AC211" s="179"/>
      <c r="AD211" s="179"/>
      <c r="AE211" s="179"/>
      <c r="AF211" s="179"/>
      <c r="AG211" s="179"/>
      <c r="AH211" s="179"/>
      <c r="AI211" s="179"/>
      <c r="AJ211" s="179"/>
      <c r="AK211" s="179"/>
      <c r="AL211" s="179"/>
      <c r="AM211" s="179"/>
      <c r="AN211" s="179"/>
      <c r="AO211" s="179">
        <f t="array" ref="AO211">SUM(IF('2014-2017 Projects'!$T$5:$T$258="New-70",'2014-2017 Projects'!$CG$5:$CG$258,0))</f>
        <v>0</v>
      </c>
      <c r="AP211" s="179">
        <f t="array" ref="AP211">SUM(IF('2014-2017 Projects'!$T$5:$T$258="New-70",'2014-2017 Projects'!$CH$5:$CH$258,0))</f>
        <v>0</v>
      </c>
    </row>
    <row r="212" spans="1:42" ht="13.5" x14ac:dyDescent="0.25">
      <c r="A212" s="207" t="s">
        <v>360</v>
      </c>
      <c r="B212" s="180"/>
      <c r="C212" s="180"/>
      <c r="D212" s="180"/>
      <c r="E212" s="180"/>
      <c r="F212" s="180"/>
      <c r="G212" s="180"/>
      <c r="H212" s="180"/>
      <c r="I212" s="180"/>
      <c r="J212" s="180"/>
      <c r="K212" s="180"/>
      <c r="L212" s="180"/>
      <c r="M212" s="180"/>
      <c r="N212" s="180"/>
      <c r="O212" s="180"/>
      <c r="P212" s="180"/>
      <c r="Q212" s="180"/>
      <c r="R212" s="180"/>
      <c r="S212" s="180"/>
      <c r="T212" s="180"/>
      <c r="U212" s="180"/>
      <c r="V212" s="180"/>
      <c r="W212" s="180"/>
      <c r="X212" s="180"/>
      <c r="Y212" s="180"/>
      <c r="Z212" s="180"/>
      <c r="AA212" s="180"/>
      <c r="AB212" s="180"/>
      <c r="AC212" s="180"/>
      <c r="AD212" s="180"/>
      <c r="AE212" s="180"/>
      <c r="AF212" s="180"/>
      <c r="AG212" s="180"/>
      <c r="AH212" s="180"/>
      <c r="AI212" s="180"/>
      <c r="AJ212" s="180"/>
      <c r="AK212" s="180"/>
      <c r="AL212" s="180"/>
      <c r="AM212" s="180"/>
      <c r="AN212" s="180"/>
      <c r="AO212" s="180"/>
      <c r="AP212" s="180"/>
    </row>
    <row r="213" spans="1:42" ht="13.5" x14ac:dyDescent="0.25">
      <c r="A213" s="196" t="s">
        <v>361</v>
      </c>
      <c r="B213" s="197" t="e">
        <f>SUM(B214:B217)</f>
        <v>#REF!</v>
      </c>
      <c r="C213" s="197" t="e">
        <f>SUM(C214:C217)</f>
        <v>#REF!</v>
      </c>
      <c r="D213" s="197" t="e">
        <f>SUM(D214:D217)</f>
        <v>#REF!</v>
      </c>
      <c r="E213" s="197" t="e">
        <f>SUM(E214:E217)</f>
        <v>#REF!</v>
      </c>
      <c r="F213" s="197" t="e">
        <f>SUM(F214:F217)</f>
        <v>#REF!</v>
      </c>
      <c r="G213" s="197"/>
      <c r="H213" s="197">
        <f>SUM(H214:H217)</f>
        <v>70000000</v>
      </c>
      <c r="I213" s="197"/>
      <c r="J213" s="197"/>
      <c r="K213" s="197"/>
      <c r="L213" s="197"/>
      <c r="M213" s="197"/>
      <c r="N213" s="197"/>
      <c r="O213" s="197"/>
      <c r="P213" s="197"/>
      <c r="Q213" s="197"/>
      <c r="R213" s="197"/>
      <c r="S213" s="197"/>
      <c r="T213" s="197"/>
      <c r="U213" s="197"/>
      <c r="V213" s="197"/>
      <c r="W213" s="197"/>
      <c r="X213" s="197"/>
      <c r="Y213" s="197"/>
      <c r="Z213" s="197"/>
      <c r="AA213" s="197"/>
      <c r="AB213" s="197"/>
      <c r="AC213" s="197"/>
      <c r="AD213" s="197"/>
      <c r="AE213" s="197"/>
      <c r="AF213" s="197"/>
      <c r="AG213" s="197"/>
      <c r="AH213" s="197"/>
      <c r="AI213" s="197"/>
      <c r="AJ213" s="197"/>
      <c r="AK213" s="197"/>
      <c r="AL213" s="197"/>
      <c r="AM213" s="197"/>
      <c r="AN213" s="197"/>
      <c r="AO213" s="197">
        <f>SUM(AO214:AO217)</f>
        <v>76710100</v>
      </c>
      <c r="AP213" s="197">
        <f>SUM(AP214:AP217)</f>
        <v>99912415</v>
      </c>
    </row>
    <row r="214" spans="1:42" ht="13.5" x14ac:dyDescent="0.25">
      <c r="A214" s="207" t="s">
        <v>1</v>
      </c>
      <c r="B214" s="179" t="e">
        <f t="array" ref="B214">SUM(IF('[5]2013-2016 Projects'!$O$4:$O$202="New-100",'[5]2013-2016 Projects'!$V$4:$V$202,0))</f>
        <v>#REF!</v>
      </c>
      <c r="C214" s="179" t="e">
        <f t="array" ref="C214">SUM(IF('[5]2013-2016 Projects'!$O$4:$O$202="New-100",'[5]2013-2016 Projects'!$V$4:$V$202,0))</f>
        <v>#REF!</v>
      </c>
      <c r="D214" s="179" t="e">
        <f t="array" ref="D214">SUM(IF('[5]2013-2016 Projects'!$O$4:$O$202="New-100",'[5]2013-2016 Projects'!$V$4:$V$202,0))</f>
        <v>#REF!</v>
      </c>
      <c r="E214" s="179" t="e">
        <f t="array" ref="E214">SUM(IF('[5]2013-2016 Projects'!$O$4:$O$202="New-100",'[5]2013-2016 Projects'!$V$4:$V$202,0))</f>
        <v>#REF!</v>
      </c>
      <c r="F214" s="179" t="e">
        <f t="array" ref="F214">SUM(IF('[5]2013-2016 Projects'!$O$4:$O$202="New-100",'[5]2013-2016 Projects'!$V$4:$V$202,0))</f>
        <v>#REF!</v>
      </c>
      <c r="G214" s="179"/>
      <c r="H214" s="179">
        <f t="array" ref="H214">SUM(IF('2014-2017 Projects'!$T$5:$T$258="New-100",'2014-2017 Projects'!$AK$5:$AK$258,0))</f>
        <v>36000000</v>
      </c>
      <c r="I214" s="179"/>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f t="array" ref="AO214">SUM(IF('2014-2017 Projects'!$T$5:$T$258="New-100",'2014-2017 Projects'!$CG$5:$CG$258,0))</f>
        <v>36710100</v>
      </c>
      <c r="AP214" s="179">
        <f t="array" ref="AP214">SUM(IF('2014-2017 Projects'!$T$5:$T$258="New-100",'2014-2017 Projects'!$CH$5:$CH$258,0))</f>
        <v>30412415</v>
      </c>
    </row>
    <row r="215" spans="1:42" ht="13.5" x14ac:dyDescent="0.25">
      <c r="A215" s="207" t="s">
        <v>362</v>
      </c>
      <c r="B215" s="179" t="e">
        <f t="array" ref="B215">SUM(IF('[5]2013-2016 Projects'!$O$4:$O$202="New-50",'[5]2013-2016 Projects'!$V$4:$V$202,0))</f>
        <v>#REF!</v>
      </c>
      <c r="C215" s="179" t="e">
        <f t="array" ref="C215">SUM(IF('[5]2013-2016 Projects'!$O$4:$O$202="New-50",'[5]2013-2016 Projects'!$V$4:$V$202,0))</f>
        <v>#REF!</v>
      </c>
      <c r="D215" s="179" t="e">
        <f t="array" ref="D215">SUM(IF('[5]2013-2016 Projects'!$O$4:$O$202="New-50",'[5]2013-2016 Projects'!$V$4:$V$202,0))</f>
        <v>#REF!</v>
      </c>
      <c r="E215" s="179" t="e">
        <f t="array" ref="E215">SUM(IF('[5]2013-2016 Projects'!$O$4:$O$202="New-50",'[5]2013-2016 Projects'!$V$4:$V$202,0))</f>
        <v>#REF!</v>
      </c>
      <c r="F215" s="179" t="e">
        <f t="array" ref="F215">SUM(IF('[5]2013-2016 Projects'!$O$4:$O$202="New-50",'[5]2013-2016 Projects'!$V$4:$V$202,0))</f>
        <v>#REF!</v>
      </c>
      <c r="G215" s="179"/>
      <c r="H215" s="179">
        <f t="array" ref="H215">SUM(IF('2014-2017 Projects'!$T$5:$T$258="New-50",'2014-2017 Projects'!$AK$5:$AK$258,0))</f>
        <v>24000000</v>
      </c>
      <c r="I215" s="179"/>
      <c r="J215" s="179"/>
      <c r="K215" s="179"/>
      <c r="L215" s="179"/>
      <c r="M215" s="179"/>
      <c r="N215" s="179"/>
      <c r="O215" s="179"/>
      <c r="P215" s="179"/>
      <c r="Q215" s="179"/>
      <c r="R215" s="179"/>
      <c r="S215" s="179"/>
      <c r="T215" s="179"/>
      <c r="U215" s="179"/>
      <c r="V215" s="179"/>
      <c r="W215" s="179"/>
      <c r="X215" s="179"/>
      <c r="Y215" s="179"/>
      <c r="Z215" s="179"/>
      <c r="AA215" s="179"/>
      <c r="AB215" s="179"/>
      <c r="AC215" s="179"/>
      <c r="AD215" s="179"/>
      <c r="AE215" s="179"/>
      <c r="AF215" s="179"/>
      <c r="AG215" s="179"/>
      <c r="AH215" s="179"/>
      <c r="AI215" s="179"/>
      <c r="AJ215" s="179"/>
      <c r="AK215" s="179"/>
      <c r="AL215" s="179"/>
      <c r="AM215" s="179"/>
      <c r="AN215" s="179"/>
      <c r="AO215" s="179">
        <f t="array" ref="AO215">SUM(IF('2014-2017 Projects'!$T$5:$T$258="New-50",'2014-2017 Projects'!$CG$5:$CG$258,0))</f>
        <v>30000000</v>
      </c>
      <c r="AP215" s="179">
        <f t="array" ref="AP215">SUM(IF('2014-2017 Projects'!$T$5:$T$258="New-50",'2014-2017 Projects'!$CH$5:$CH$258,0))</f>
        <v>59500000</v>
      </c>
    </row>
    <row r="216" spans="1:42" ht="13.5" x14ac:dyDescent="0.25">
      <c r="A216" s="207" t="s">
        <v>363</v>
      </c>
      <c r="B216" s="180"/>
      <c r="C216" s="180"/>
      <c r="D216" s="180"/>
      <c r="E216" s="180"/>
      <c r="F216" s="180"/>
      <c r="G216" s="180"/>
      <c r="H216" s="180"/>
      <c r="I216" s="180"/>
      <c r="J216" s="180"/>
      <c r="K216" s="180"/>
      <c r="L216" s="180"/>
      <c r="M216" s="180"/>
      <c r="N216" s="180"/>
      <c r="O216" s="180"/>
      <c r="P216" s="180"/>
      <c r="Q216" s="180"/>
      <c r="R216" s="180"/>
      <c r="S216" s="180"/>
      <c r="T216" s="180"/>
      <c r="U216" s="180"/>
      <c r="V216" s="180"/>
      <c r="W216" s="180"/>
      <c r="X216" s="180"/>
      <c r="Y216" s="180"/>
      <c r="Z216" s="180"/>
      <c r="AA216" s="180"/>
      <c r="AB216" s="180"/>
      <c r="AC216" s="180"/>
      <c r="AD216" s="180"/>
      <c r="AE216" s="180"/>
      <c r="AF216" s="180"/>
      <c r="AG216" s="180"/>
      <c r="AH216" s="180"/>
      <c r="AI216" s="180"/>
      <c r="AJ216" s="180"/>
      <c r="AK216" s="180"/>
      <c r="AL216" s="180"/>
      <c r="AM216" s="180"/>
      <c r="AN216" s="180"/>
      <c r="AO216" s="180"/>
      <c r="AP216" s="180"/>
    </row>
    <row r="217" spans="1:42" ht="13.5" x14ac:dyDescent="0.25">
      <c r="A217" s="207" t="s">
        <v>36</v>
      </c>
      <c r="B217" s="179" t="e">
        <f t="array" ref="B217">SUM(IF('[5]2013-2016 Projects'!$O$4:$O$202="New-120",'[5]2013-2016 Projects'!$V$4:$V$202,0))</f>
        <v>#REF!</v>
      </c>
      <c r="C217" s="179" t="e">
        <f t="array" ref="C217">SUM(IF('[5]2013-2016 Projects'!$O$4:$O$202="New-120",'[5]2013-2016 Projects'!$V$4:$V$202,0))</f>
        <v>#REF!</v>
      </c>
      <c r="D217" s="179" t="e">
        <f t="array" ref="D217">SUM(IF('[5]2013-2016 Projects'!$O$4:$O$202="New-120",'[5]2013-2016 Projects'!$V$4:$V$202,0))</f>
        <v>#REF!</v>
      </c>
      <c r="E217" s="179" t="e">
        <f t="array" ref="E217">SUM(IF('[5]2013-2016 Projects'!$O$4:$O$202="New-120",'[5]2013-2016 Projects'!$V$4:$V$202,0))</f>
        <v>#REF!</v>
      </c>
      <c r="F217" s="179" t="e">
        <f t="array" ref="F217">SUM(IF('[5]2013-2016 Projects'!$O$4:$O$202="New-120",'[5]2013-2016 Projects'!$V$4:$V$202,0))</f>
        <v>#REF!</v>
      </c>
      <c r="G217" s="179"/>
      <c r="H217" s="179">
        <f t="array" ref="H217">SUM(IF('2014-2017 Projects'!$T$5:$T$258="New-120",'2014-2017 Projects'!$AK$5:$AK$258,0))</f>
        <v>10000000</v>
      </c>
      <c r="I217" s="179"/>
      <c r="J217" s="179"/>
      <c r="K217" s="179"/>
      <c r="L217" s="179"/>
      <c r="M217" s="179"/>
      <c r="N217" s="179"/>
      <c r="O217" s="179"/>
      <c r="P217" s="179"/>
      <c r="Q217" s="179"/>
      <c r="R217" s="179"/>
      <c r="S217" s="179"/>
      <c r="T217" s="179"/>
      <c r="U217" s="179"/>
      <c r="V217" s="179"/>
      <c r="W217" s="179"/>
      <c r="X217" s="179"/>
      <c r="Y217" s="179"/>
      <c r="Z217" s="179"/>
      <c r="AA217" s="179"/>
      <c r="AB217" s="179"/>
      <c r="AC217" s="179"/>
      <c r="AD217" s="179"/>
      <c r="AE217" s="179"/>
      <c r="AF217" s="179"/>
      <c r="AG217" s="179"/>
      <c r="AH217" s="179"/>
      <c r="AI217" s="179"/>
      <c r="AJ217" s="179"/>
      <c r="AK217" s="179"/>
      <c r="AL217" s="179"/>
      <c r="AM217" s="179"/>
      <c r="AN217" s="179"/>
      <c r="AO217" s="179">
        <f t="array" ref="AO217">SUM(IF('2014-2017 Projects'!$T$5:$T$258="New-120",'2014-2017 Projects'!$CG$5:$CG$258,0))</f>
        <v>10000000</v>
      </c>
      <c r="AP217" s="179">
        <f t="array" ref="AP217">SUM(IF('2014-2017 Projects'!$T$5:$T$258="New-120",'2014-2017 Projects'!$CH$5:$CH$258,0))</f>
        <v>10000000</v>
      </c>
    </row>
    <row r="218" spans="1:42" ht="13.5" x14ac:dyDescent="0.25">
      <c r="A218" s="208"/>
      <c r="B218" s="175"/>
      <c r="C218" s="175"/>
      <c r="D218" s="175"/>
      <c r="E218" s="175"/>
      <c r="F218" s="175"/>
      <c r="G218" s="175"/>
      <c r="H218" s="175"/>
      <c r="I218" s="175"/>
      <c r="J218" s="175"/>
      <c r="K218" s="175"/>
      <c r="L218" s="175"/>
      <c r="M218" s="175"/>
      <c r="N218" s="175"/>
      <c r="O218" s="175"/>
      <c r="P218" s="175"/>
      <c r="Q218" s="175"/>
      <c r="R218" s="175"/>
      <c r="S218" s="175"/>
      <c r="T218" s="175"/>
      <c r="U218" s="175"/>
      <c r="V218" s="175"/>
      <c r="W218" s="175"/>
      <c r="X218" s="175"/>
      <c r="Y218" s="175"/>
      <c r="Z218" s="175"/>
      <c r="AA218" s="175"/>
      <c r="AB218" s="175"/>
      <c r="AC218" s="175"/>
      <c r="AD218" s="175"/>
      <c r="AE218" s="175"/>
      <c r="AF218" s="175"/>
      <c r="AG218" s="175"/>
      <c r="AH218" s="175"/>
      <c r="AI218" s="175"/>
      <c r="AJ218" s="175"/>
      <c r="AK218" s="175"/>
      <c r="AL218" s="175"/>
      <c r="AM218" s="175"/>
      <c r="AN218" s="175"/>
      <c r="AO218" s="175"/>
      <c r="AP218" s="175"/>
    </row>
    <row r="219" spans="1:42" ht="13.5" x14ac:dyDescent="0.25">
      <c r="A219" s="203" t="s">
        <v>2</v>
      </c>
      <c r="B219" s="184" t="e">
        <f>SUM(B220:B233)</f>
        <v>#REF!</v>
      </c>
      <c r="C219" s="184" t="e">
        <f>SUM(C220:C233)</f>
        <v>#REF!</v>
      </c>
      <c r="D219" s="184" t="e">
        <f>SUM(D220:D233)</f>
        <v>#REF!</v>
      </c>
      <c r="E219" s="184" t="e">
        <f>SUM(E220:E233)</f>
        <v>#REF!</v>
      </c>
      <c r="F219" s="184" t="e">
        <f>SUM(F220:F233)</f>
        <v>#REF!</v>
      </c>
      <c r="G219" s="184"/>
      <c r="H219" s="184">
        <f>SUM(H220:H233)</f>
        <v>22000000</v>
      </c>
      <c r="I219" s="184"/>
      <c r="J219" s="184"/>
      <c r="K219" s="184"/>
      <c r="L219" s="184"/>
      <c r="M219" s="184"/>
      <c r="N219" s="184"/>
      <c r="O219" s="184"/>
      <c r="P219" s="184"/>
      <c r="Q219" s="184"/>
      <c r="R219" s="184"/>
      <c r="S219" s="184"/>
      <c r="T219" s="184"/>
      <c r="U219" s="184"/>
      <c r="V219" s="184"/>
      <c r="W219" s="184"/>
      <c r="X219" s="184"/>
      <c r="Y219" s="184"/>
      <c r="Z219" s="184"/>
      <c r="AA219" s="184"/>
      <c r="AB219" s="184"/>
      <c r="AC219" s="184"/>
      <c r="AD219" s="184"/>
      <c r="AE219" s="184"/>
      <c r="AF219" s="184"/>
      <c r="AG219" s="184"/>
      <c r="AH219" s="184"/>
      <c r="AI219" s="184"/>
      <c r="AJ219" s="184"/>
      <c r="AK219" s="184"/>
      <c r="AL219" s="184"/>
      <c r="AM219" s="184"/>
      <c r="AN219" s="184"/>
      <c r="AO219" s="184">
        <f>SUM(AO220:AO233)</f>
        <v>17000000</v>
      </c>
      <c r="AP219" s="184">
        <f>SUM(AP220:AP233)</f>
        <v>17000000</v>
      </c>
    </row>
    <row r="220" spans="1:42" ht="13.5" x14ac:dyDescent="0.25">
      <c r="A220" s="196" t="s">
        <v>364</v>
      </c>
      <c r="B220" s="179" t="e">
        <f t="array" ref="B220">SUM(IF('[5]2013-2016 Projects'!$O$4:$O$202="New-150",'[5]2013-2016 Projects'!$V$4:$V$202,0))</f>
        <v>#REF!</v>
      </c>
      <c r="C220" s="179" t="e">
        <f t="array" ref="C220">SUM(IF('[5]2013-2016 Projects'!$O$4:$O$202="New-150",'[5]2013-2016 Projects'!$V$4:$V$202,0))</f>
        <v>#REF!</v>
      </c>
      <c r="D220" s="179" t="e">
        <f t="array" ref="D220">SUM(IF('[5]2013-2016 Projects'!$O$4:$O$202="New-150",'[5]2013-2016 Projects'!$V$4:$V$202,0))</f>
        <v>#REF!</v>
      </c>
      <c r="E220" s="179" t="e">
        <f t="array" ref="E220">SUM(IF('[5]2013-2016 Projects'!$O$4:$O$202="New-150",'[5]2013-2016 Projects'!$V$4:$V$202,0))</f>
        <v>#REF!</v>
      </c>
      <c r="F220" s="179" t="e">
        <f t="array" ref="F220">SUM(IF('[5]2013-2016 Projects'!$O$4:$O$202="New-150",'[5]2013-2016 Projects'!$V$4:$V$202,0))</f>
        <v>#REF!</v>
      </c>
      <c r="G220" s="179"/>
      <c r="H220" s="179">
        <f t="array" ref="H220">SUM(IF('2014-2017 Projects'!$T$5:$T$258="New-150",'2014-2017 Projects'!$AK$5:$AK$258,0))</f>
        <v>2000000</v>
      </c>
      <c r="I220" s="179"/>
      <c r="J220" s="179"/>
      <c r="K220" s="179"/>
      <c r="L220" s="179"/>
      <c r="M220" s="179"/>
      <c r="N220" s="179"/>
      <c r="O220" s="179"/>
      <c r="P220" s="179"/>
      <c r="Q220" s="179"/>
      <c r="R220" s="179"/>
      <c r="S220" s="179"/>
      <c r="T220" s="179"/>
      <c r="U220" s="179"/>
      <c r="V220" s="179"/>
      <c r="W220" s="179"/>
      <c r="X220" s="179"/>
      <c r="Y220" s="179"/>
      <c r="Z220" s="179"/>
      <c r="AA220" s="179"/>
      <c r="AB220" s="179"/>
      <c r="AC220" s="179"/>
      <c r="AD220" s="179"/>
      <c r="AE220" s="179"/>
      <c r="AF220" s="179"/>
      <c r="AG220" s="179"/>
      <c r="AH220" s="179"/>
      <c r="AI220" s="179"/>
      <c r="AJ220" s="179"/>
      <c r="AK220" s="179"/>
      <c r="AL220" s="179"/>
      <c r="AM220" s="179"/>
      <c r="AN220" s="179"/>
      <c r="AO220" s="179">
        <f t="array" ref="AO220">SUM(IF('2014-2017 Projects'!$T$5:$T$258="New-150",'2014-2017 Projects'!$CG$5:$CG$258,0))</f>
        <v>0</v>
      </c>
      <c r="AP220" s="179">
        <f t="array" ref="AP220">SUM(IF('2014-2017 Projects'!$T$5:$T$258="New-150",'2014-2017 Projects'!$CH$5:$CH$258,0))</f>
        <v>0</v>
      </c>
    </row>
    <row r="221" spans="1:42" ht="13.5" x14ac:dyDescent="0.25">
      <c r="A221" s="196" t="s">
        <v>365</v>
      </c>
      <c r="B221" s="179" t="e">
        <f t="array" ref="B221">SUM(IF('[5]2013-2016 Projects'!$O$4:$O$202="New-160",'[5]2013-2016 Projects'!$V$4:$V$202,0))</f>
        <v>#REF!</v>
      </c>
      <c r="C221" s="179" t="e">
        <f t="array" ref="C221">SUM(IF('[5]2013-2016 Projects'!$O$4:$O$202="New-160",'[5]2013-2016 Projects'!$V$4:$V$202,0))</f>
        <v>#REF!</v>
      </c>
      <c r="D221" s="179" t="e">
        <f t="array" ref="D221">SUM(IF('[5]2013-2016 Projects'!$O$4:$O$202="New-160",'[5]2013-2016 Projects'!$V$4:$V$202,0))</f>
        <v>#REF!</v>
      </c>
      <c r="E221" s="179" t="e">
        <f t="array" ref="E221">SUM(IF('[5]2013-2016 Projects'!$O$4:$O$202="New-160",'[5]2013-2016 Projects'!$V$4:$V$202,0))</f>
        <v>#REF!</v>
      </c>
      <c r="F221" s="179" t="e">
        <f t="array" ref="F221">SUM(IF('[5]2013-2016 Projects'!$O$4:$O$202="New-160",'[5]2013-2016 Projects'!$V$4:$V$202,0))</f>
        <v>#REF!</v>
      </c>
      <c r="G221" s="179"/>
      <c r="H221" s="179">
        <f t="array" ref="H221">SUM(IF('2014-2017 Projects'!$T$5:$T$258="New-160",'2014-2017 Projects'!$AK$5:$AK$258,0))</f>
        <v>0</v>
      </c>
      <c r="I221" s="179"/>
      <c r="J221" s="179"/>
      <c r="K221" s="179"/>
      <c r="L221" s="179"/>
      <c r="M221" s="179"/>
      <c r="N221" s="179"/>
      <c r="O221" s="179"/>
      <c r="P221" s="179"/>
      <c r="Q221" s="179"/>
      <c r="R221" s="179"/>
      <c r="S221" s="179"/>
      <c r="T221" s="179"/>
      <c r="U221" s="179"/>
      <c r="V221" s="179"/>
      <c r="W221" s="179"/>
      <c r="X221" s="179"/>
      <c r="Y221" s="179"/>
      <c r="Z221" s="179"/>
      <c r="AA221" s="179"/>
      <c r="AB221" s="179"/>
      <c r="AC221" s="179"/>
      <c r="AD221" s="179"/>
      <c r="AE221" s="179"/>
      <c r="AF221" s="179"/>
      <c r="AG221" s="179"/>
      <c r="AH221" s="179"/>
      <c r="AI221" s="179"/>
      <c r="AJ221" s="179"/>
      <c r="AK221" s="179"/>
      <c r="AL221" s="179"/>
      <c r="AM221" s="179"/>
      <c r="AN221" s="179"/>
      <c r="AO221" s="179">
        <f t="array" ref="AO221">SUM(IF('2014-2017 Projects'!$T$5:$T$258="New-160",'2014-2017 Projects'!$CG$5:$CG$258,0))</f>
        <v>0</v>
      </c>
      <c r="AP221" s="179">
        <f t="array" ref="AP221">SUM(IF('2014-2017 Projects'!$T$5:$T$258="New-160",'2014-2017 Projects'!$CH$5:$CH$258,0))</f>
        <v>0</v>
      </c>
    </row>
    <row r="222" spans="1:42" ht="13.5" x14ac:dyDescent="0.25">
      <c r="A222" s="196" t="s">
        <v>366</v>
      </c>
      <c r="B222" s="179" t="e">
        <f t="array" ref="B222">SUM(IF('[5]2013-2016 Projects'!$O$4:$O$202="New-199",'[5]2013-2016 Projects'!$V$4:$V$202,0))</f>
        <v>#REF!</v>
      </c>
      <c r="C222" s="179" t="e">
        <f t="array" ref="C222">SUM(IF('[5]2013-2016 Projects'!$O$4:$O$202="New-199",'[5]2013-2016 Projects'!$V$4:$V$202,0))</f>
        <v>#REF!</v>
      </c>
      <c r="D222" s="179" t="e">
        <f t="array" ref="D222">SUM(IF('[5]2013-2016 Projects'!$O$4:$O$202="New-199",'[5]2013-2016 Projects'!$V$4:$V$202,0))</f>
        <v>#REF!</v>
      </c>
      <c r="E222" s="179" t="e">
        <f t="array" ref="E222">SUM(IF('[5]2013-2016 Projects'!$O$4:$O$202="New-199",'[5]2013-2016 Projects'!$V$4:$V$202,0))</f>
        <v>#REF!</v>
      </c>
      <c r="F222" s="179" t="e">
        <f t="array" ref="F222">SUM(IF('[5]2013-2016 Projects'!$O$4:$O$202="New-199",'[5]2013-2016 Projects'!$V$4:$V$202,0))</f>
        <v>#REF!</v>
      </c>
      <c r="G222" s="179"/>
      <c r="H222" s="179">
        <f t="array" ref="H222">SUM(IF('2014-2017 Projects'!$T$5:$T$258="New-199",'2014-2017 Projects'!$AK$5:$AK$258,0))</f>
        <v>0</v>
      </c>
      <c r="I222" s="179"/>
      <c r="J222" s="179"/>
      <c r="K222" s="179"/>
      <c r="L222" s="179"/>
      <c r="M222" s="179"/>
      <c r="N222" s="179"/>
      <c r="O222" s="179"/>
      <c r="P222" s="179"/>
      <c r="Q222" s="179"/>
      <c r="R222" s="179"/>
      <c r="S222" s="179"/>
      <c r="T222" s="179"/>
      <c r="U222" s="179"/>
      <c r="V222" s="179"/>
      <c r="W222" s="179"/>
      <c r="X222" s="179"/>
      <c r="Y222" s="179"/>
      <c r="Z222" s="179"/>
      <c r="AA222" s="179"/>
      <c r="AB222" s="179"/>
      <c r="AC222" s="179"/>
      <c r="AD222" s="179"/>
      <c r="AE222" s="179"/>
      <c r="AF222" s="179"/>
      <c r="AG222" s="179"/>
      <c r="AH222" s="179"/>
      <c r="AI222" s="179"/>
      <c r="AJ222" s="179"/>
      <c r="AK222" s="179"/>
      <c r="AL222" s="179"/>
      <c r="AM222" s="179"/>
      <c r="AN222" s="179"/>
      <c r="AO222" s="179">
        <f t="array" ref="AO222">SUM(IF('2014-2017 Projects'!$T$5:$T$258="New-199",'2014-2017 Projects'!$CG$5:$CG$258,0))</f>
        <v>0</v>
      </c>
      <c r="AP222" s="179">
        <f t="array" ref="AP222">SUM(IF('2014-2017 Projects'!$T$5:$T$258="New-199",'2014-2017 Projects'!$CH$5:$CH$258,0))</f>
        <v>0</v>
      </c>
    </row>
    <row r="223" spans="1:42" ht="13.5" x14ac:dyDescent="0.25">
      <c r="A223" s="196" t="s">
        <v>367</v>
      </c>
      <c r="B223" s="179" t="e">
        <f t="array" ref="B223">SUM(IF('[5]2013-2016 Projects'!$O$4:$O$202="New-170",'[5]2013-2016 Projects'!$V$4:$V$202,0))</f>
        <v>#REF!</v>
      </c>
      <c r="C223" s="179" t="e">
        <f t="array" ref="C223">SUM(IF('[5]2013-2016 Projects'!$O$4:$O$202="New-170",'[5]2013-2016 Projects'!$V$4:$V$202,0))</f>
        <v>#REF!</v>
      </c>
      <c r="D223" s="179" t="e">
        <f t="array" ref="D223">SUM(IF('[5]2013-2016 Projects'!$O$4:$O$202="New-170",'[5]2013-2016 Projects'!$V$4:$V$202,0))</f>
        <v>#REF!</v>
      </c>
      <c r="E223" s="179" t="e">
        <f t="array" ref="E223">SUM(IF('[5]2013-2016 Projects'!$O$4:$O$202="New-170",'[5]2013-2016 Projects'!$V$4:$V$202,0))</f>
        <v>#REF!</v>
      </c>
      <c r="F223" s="179" t="e">
        <f t="array" ref="F223">SUM(IF('[5]2013-2016 Projects'!$O$4:$O$202="New-170",'[5]2013-2016 Projects'!$V$4:$V$202,0))</f>
        <v>#REF!</v>
      </c>
      <c r="G223" s="179"/>
      <c r="H223" s="179">
        <f t="array" ref="H223">SUM(IF('2014-2017 Projects'!$T$5:$T$258="New-170",'2014-2017 Projects'!$AK$5:$AK$258,0))</f>
        <v>10000000</v>
      </c>
      <c r="I223" s="179"/>
      <c r="J223" s="179"/>
      <c r="K223" s="179"/>
      <c r="L223" s="179"/>
      <c r="M223" s="179"/>
      <c r="N223" s="179"/>
      <c r="O223" s="179"/>
      <c r="P223" s="179"/>
      <c r="Q223" s="179"/>
      <c r="R223" s="179"/>
      <c r="S223" s="179"/>
      <c r="T223" s="179"/>
      <c r="U223" s="179"/>
      <c r="V223" s="179"/>
      <c r="W223" s="179"/>
      <c r="X223" s="179"/>
      <c r="Y223" s="179"/>
      <c r="Z223" s="179"/>
      <c r="AA223" s="179"/>
      <c r="AB223" s="179"/>
      <c r="AC223" s="179"/>
      <c r="AD223" s="179"/>
      <c r="AE223" s="179"/>
      <c r="AF223" s="179"/>
      <c r="AG223" s="179"/>
      <c r="AH223" s="179"/>
      <c r="AI223" s="179"/>
      <c r="AJ223" s="179"/>
      <c r="AK223" s="179"/>
      <c r="AL223" s="179"/>
      <c r="AM223" s="179"/>
      <c r="AN223" s="179"/>
      <c r="AO223" s="179">
        <f t="array" ref="AO223">SUM(IF('2014-2017 Projects'!$T$5:$T$258="New-170",'2014-2017 Projects'!$CG$5:$CG$258,0))</f>
        <v>9000000</v>
      </c>
      <c r="AP223" s="179">
        <f t="array" ref="AP223">SUM(IF('2014-2017 Projects'!$T$5:$T$258="New-170",'2014-2017 Projects'!$CH$5:$CH$258,0))</f>
        <v>9000000</v>
      </c>
    </row>
    <row r="224" spans="1:42" ht="13.5" x14ac:dyDescent="0.25">
      <c r="A224" s="196" t="s">
        <v>3</v>
      </c>
      <c r="B224" s="179" t="e">
        <f t="array" ref="B224">SUM(IF('[5]2013-2016 Projects'!$O$4:$O$202="New-180",'[5]2013-2016 Projects'!$V$4:$V$202,0))</f>
        <v>#REF!</v>
      </c>
      <c r="C224" s="179" t="e">
        <f t="array" ref="C224">SUM(IF('[5]2013-2016 Projects'!$O$4:$O$202="New-180",'[5]2013-2016 Projects'!$V$4:$V$202,0))</f>
        <v>#REF!</v>
      </c>
      <c r="D224" s="179" t="e">
        <f t="array" ref="D224">SUM(IF('[5]2013-2016 Projects'!$O$4:$O$202="New-180",'[5]2013-2016 Projects'!$V$4:$V$202,0))</f>
        <v>#REF!</v>
      </c>
      <c r="E224" s="179" t="e">
        <f t="array" ref="E224">SUM(IF('[5]2013-2016 Projects'!$O$4:$O$202="New-180",'[5]2013-2016 Projects'!$V$4:$V$202,0))</f>
        <v>#REF!</v>
      </c>
      <c r="F224" s="179" t="e">
        <f t="array" ref="F224">SUM(IF('[5]2013-2016 Projects'!$O$4:$O$202="New-180",'[5]2013-2016 Projects'!$V$4:$V$202,0))</f>
        <v>#REF!</v>
      </c>
      <c r="G224" s="179"/>
      <c r="H224" s="179">
        <f t="array" ref="H224">SUM(IF('2014-2017 Projects'!$T$5:$T$258="New-180",'2014-2017 Projects'!$AK$5:$AK$258,0))</f>
        <v>0</v>
      </c>
      <c r="I224" s="179"/>
      <c r="J224" s="179"/>
      <c r="K224" s="179"/>
      <c r="L224" s="179"/>
      <c r="M224" s="179"/>
      <c r="N224" s="179"/>
      <c r="O224" s="179"/>
      <c r="P224" s="179"/>
      <c r="Q224" s="179"/>
      <c r="R224" s="179"/>
      <c r="S224" s="179"/>
      <c r="T224" s="179"/>
      <c r="U224" s="179"/>
      <c r="V224" s="179"/>
      <c r="W224" s="179"/>
      <c r="X224" s="179"/>
      <c r="Y224" s="179"/>
      <c r="Z224" s="179"/>
      <c r="AA224" s="179"/>
      <c r="AB224" s="179"/>
      <c r="AC224" s="179"/>
      <c r="AD224" s="179"/>
      <c r="AE224" s="179"/>
      <c r="AF224" s="179"/>
      <c r="AG224" s="179"/>
      <c r="AH224" s="179"/>
      <c r="AI224" s="179"/>
      <c r="AJ224" s="179"/>
      <c r="AK224" s="179"/>
      <c r="AL224" s="179"/>
      <c r="AM224" s="179"/>
      <c r="AN224" s="179"/>
      <c r="AO224" s="179">
        <f t="array" ref="AO224">SUM(IF('2014-2017 Projects'!$T$5:$T$258="New-180",'2014-2017 Projects'!$CG$5:$CG$258,0))</f>
        <v>0</v>
      </c>
      <c r="AP224" s="179">
        <f t="array" ref="AP224">SUM(IF('2014-2017 Projects'!$T$5:$T$258="New-180",'2014-2017 Projects'!$CH$5:$CH$258,0))</f>
        <v>0</v>
      </c>
    </row>
    <row r="225" spans="1:42" ht="13.5" x14ac:dyDescent="0.25">
      <c r="A225" s="196" t="s">
        <v>368</v>
      </c>
      <c r="B225" s="179" t="e">
        <f t="array" ref="B225">SUM(IF('[5]2013-2016 Projects'!$O$4:$O$202="New-190",'[5]2013-2016 Projects'!$V$4:$V$202,0))</f>
        <v>#REF!</v>
      </c>
      <c r="C225" s="179" t="e">
        <f t="array" ref="C225">SUM(IF('[5]2013-2016 Projects'!$O$4:$O$202="New-190",'[5]2013-2016 Projects'!$V$4:$V$202,0))</f>
        <v>#REF!</v>
      </c>
      <c r="D225" s="179" t="e">
        <f t="array" ref="D225">SUM(IF('[5]2013-2016 Projects'!$O$4:$O$202="New-190",'[5]2013-2016 Projects'!$V$4:$V$202,0))</f>
        <v>#REF!</v>
      </c>
      <c r="E225" s="179" t="e">
        <f t="array" ref="E225">SUM(IF('[5]2013-2016 Projects'!$O$4:$O$202="New-190",'[5]2013-2016 Projects'!$V$4:$V$202,0))</f>
        <v>#REF!</v>
      </c>
      <c r="F225" s="179" t="e">
        <f t="array" ref="F225">SUM(IF('[5]2013-2016 Projects'!$O$4:$O$202="New-190",'[5]2013-2016 Projects'!$V$4:$V$202,0))</f>
        <v>#REF!</v>
      </c>
      <c r="G225" s="179"/>
      <c r="H225" s="179">
        <f t="array" ref="H225">SUM(IF('2014-2017 Projects'!$T$5:$T$258="New-190",'2014-2017 Projects'!$AK$5:$AK$258,0))</f>
        <v>0</v>
      </c>
      <c r="I225" s="179"/>
      <c r="J225" s="179"/>
      <c r="K225" s="179"/>
      <c r="L225" s="179"/>
      <c r="M225" s="179"/>
      <c r="N225" s="179"/>
      <c r="O225" s="179"/>
      <c r="P225" s="179"/>
      <c r="Q225" s="179"/>
      <c r="R225" s="179"/>
      <c r="S225" s="179"/>
      <c r="T225" s="179"/>
      <c r="U225" s="179"/>
      <c r="V225" s="179"/>
      <c r="W225" s="179"/>
      <c r="X225" s="179"/>
      <c r="Y225" s="179"/>
      <c r="Z225" s="179"/>
      <c r="AA225" s="179"/>
      <c r="AB225" s="179"/>
      <c r="AC225" s="179"/>
      <c r="AD225" s="179"/>
      <c r="AE225" s="179"/>
      <c r="AF225" s="179"/>
      <c r="AG225" s="179"/>
      <c r="AH225" s="179"/>
      <c r="AI225" s="179"/>
      <c r="AJ225" s="179"/>
      <c r="AK225" s="179"/>
      <c r="AL225" s="179"/>
      <c r="AM225" s="179"/>
      <c r="AN225" s="179"/>
      <c r="AO225" s="179">
        <f t="array" ref="AO225">SUM(IF('2014-2017 Projects'!$T$5:$T$258="New-190",'2014-2017 Projects'!$CG$5:$CG$258,0))</f>
        <v>0</v>
      </c>
      <c r="AP225" s="179">
        <f t="array" ref="AP225">SUM(IF('2014-2017 Projects'!$T$5:$T$258="New-190",'2014-2017 Projects'!$CH$5:$CH$258,0))</f>
        <v>0</v>
      </c>
    </row>
    <row r="226" spans="1:42" ht="13.5" x14ac:dyDescent="0.25">
      <c r="A226" s="196" t="s">
        <v>369</v>
      </c>
      <c r="B226" s="179"/>
      <c r="C226" s="179"/>
      <c r="D226" s="179"/>
      <c r="E226" s="179"/>
      <c r="F226" s="179"/>
      <c r="G226" s="179"/>
      <c r="H226" s="179"/>
      <c r="I226" s="179"/>
      <c r="J226" s="179"/>
      <c r="K226" s="179"/>
      <c r="L226" s="179"/>
      <c r="M226" s="179"/>
      <c r="N226" s="179"/>
      <c r="O226" s="179"/>
      <c r="P226" s="179"/>
      <c r="Q226" s="179"/>
      <c r="R226" s="179"/>
      <c r="S226" s="179"/>
      <c r="T226" s="179"/>
      <c r="U226" s="179"/>
      <c r="V226" s="179"/>
      <c r="W226" s="179"/>
      <c r="X226" s="179"/>
      <c r="Y226" s="179"/>
      <c r="Z226" s="179"/>
      <c r="AA226" s="179"/>
      <c r="AB226" s="179"/>
      <c r="AC226" s="179"/>
      <c r="AD226" s="179"/>
      <c r="AE226" s="179"/>
      <c r="AF226" s="179"/>
      <c r="AG226" s="179"/>
      <c r="AH226" s="179"/>
      <c r="AI226" s="179"/>
      <c r="AJ226" s="179"/>
      <c r="AK226" s="179"/>
      <c r="AL226" s="179"/>
      <c r="AM226" s="179"/>
      <c r="AN226" s="179"/>
      <c r="AO226" s="179"/>
      <c r="AP226" s="179"/>
    </row>
    <row r="227" spans="1:42" ht="13.5" x14ac:dyDescent="0.25">
      <c r="A227" s="196" t="s">
        <v>370</v>
      </c>
      <c r="B227" s="180"/>
      <c r="C227" s="180"/>
      <c r="D227" s="180"/>
      <c r="E227" s="180"/>
      <c r="F227" s="180"/>
      <c r="G227" s="180"/>
      <c r="H227" s="180"/>
      <c r="I227" s="180"/>
      <c r="J227" s="180"/>
      <c r="K227" s="180"/>
      <c r="L227" s="180"/>
      <c r="M227" s="180"/>
      <c r="N227" s="180"/>
      <c r="O227" s="180"/>
      <c r="P227" s="180"/>
      <c r="Q227" s="180"/>
      <c r="R227" s="180"/>
      <c r="S227" s="180"/>
      <c r="T227" s="180"/>
      <c r="U227" s="180"/>
      <c r="V227" s="180"/>
      <c r="W227" s="180"/>
      <c r="X227" s="180"/>
      <c r="Y227" s="180"/>
      <c r="Z227" s="180"/>
      <c r="AA227" s="180"/>
      <c r="AB227" s="180"/>
      <c r="AC227" s="180"/>
      <c r="AD227" s="180"/>
      <c r="AE227" s="180"/>
      <c r="AF227" s="180"/>
      <c r="AG227" s="180"/>
      <c r="AH227" s="180"/>
      <c r="AI227" s="180"/>
      <c r="AJ227" s="180"/>
      <c r="AK227" s="180"/>
      <c r="AL227" s="180"/>
      <c r="AM227" s="180"/>
      <c r="AN227" s="180"/>
      <c r="AO227" s="180"/>
      <c r="AP227" s="180"/>
    </row>
    <row r="228" spans="1:42" ht="13.5" x14ac:dyDescent="0.25">
      <c r="A228" s="196" t="s">
        <v>371</v>
      </c>
      <c r="B228" s="179" t="e">
        <f t="array" ref="B228">SUM(IF('[5]2013-2016 Projects'!$O$4:$O$202="New-390",'[5]2013-2016 Projects'!$V$4:$V$202,0))</f>
        <v>#REF!</v>
      </c>
      <c r="C228" s="179" t="e">
        <f t="array" ref="C228">SUM(IF('[5]2013-2016 Projects'!$O$4:$O$202="New-390",'[5]2013-2016 Projects'!$V$4:$V$202,0))</f>
        <v>#REF!</v>
      </c>
      <c r="D228" s="179" t="e">
        <f t="array" ref="D228">SUM(IF('[5]2013-2016 Projects'!$O$4:$O$202="New-390",'[5]2013-2016 Projects'!$V$4:$V$202,0))</f>
        <v>#REF!</v>
      </c>
      <c r="E228" s="179" t="e">
        <f t="array" ref="E228">SUM(IF('[5]2013-2016 Projects'!$O$4:$O$202="New-390",'[5]2013-2016 Projects'!$V$4:$V$202,0))</f>
        <v>#REF!</v>
      </c>
      <c r="F228" s="179" t="e">
        <f t="array" ref="F228">SUM(IF('[5]2013-2016 Projects'!$O$4:$O$202="New-390",'[5]2013-2016 Projects'!$V$4:$V$202,0))</f>
        <v>#REF!</v>
      </c>
      <c r="G228" s="179"/>
      <c r="H228" s="179">
        <f t="array" ref="H228">SUM(IF('2014-2017 Projects'!$T$5:$T$258="New-390",'2014-2017 Projects'!$AK$5:$AK$258,0))</f>
        <v>0</v>
      </c>
      <c r="I228" s="179"/>
      <c r="J228" s="179"/>
      <c r="K228" s="179"/>
      <c r="L228" s="179"/>
      <c r="M228" s="179"/>
      <c r="N228" s="179"/>
      <c r="O228" s="179"/>
      <c r="P228" s="179"/>
      <c r="Q228" s="179"/>
      <c r="R228" s="179"/>
      <c r="S228" s="179"/>
      <c r="T228" s="179"/>
      <c r="U228" s="179"/>
      <c r="V228" s="179"/>
      <c r="W228" s="179"/>
      <c r="X228" s="179"/>
      <c r="Y228" s="179"/>
      <c r="Z228" s="179"/>
      <c r="AA228" s="179"/>
      <c r="AB228" s="179"/>
      <c r="AC228" s="179"/>
      <c r="AD228" s="179"/>
      <c r="AE228" s="179"/>
      <c r="AF228" s="179"/>
      <c r="AG228" s="179"/>
      <c r="AH228" s="179"/>
      <c r="AI228" s="179"/>
      <c r="AJ228" s="179"/>
      <c r="AK228" s="179"/>
      <c r="AL228" s="179"/>
      <c r="AM228" s="179"/>
      <c r="AN228" s="179"/>
      <c r="AO228" s="179">
        <f t="array" ref="AO228">SUM(IF('2014-2017 Projects'!$T$5:$T$258="New-390",'2014-2017 Projects'!$CG$5:$CG$258,0))</f>
        <v>0</v>
      </c>
      <c r="AP228" s="179">
        <f t="array" ref="AP228">SUM(IF('2014-2017 Projects'!$T$5:$T$258="New-390",'2014-2017 Projects'!$CH$5:$CH$258,0))</f>
        <v>0</v>
      </c>
    </row>
    <row r="229" spans="1:42" ht="13.5" x14ac:dyDescent="0.25">
      <c r="A229" s="196" t="s">
        <v>372</v>
      </c>
      <c r="B229" s="179" t="e">
        <f t="array" ref="B229">SUM(IF('[5]2013-2016 Projects'!$O$4:$O$202="New-200",'[5]2013-2016 Projects'!$V$4:$V$202,0))</f>
        <v>#REF!</v>
      </c>
      <c r="C229" s="179" t="e">
        <f t="array" ref="C229">SUM(IF('[5]2013-2016 Projects'!$O$4:$O$202="New-200",'[5]2013-2016 Projects'!$V$4:$V$202,0))</f>
        <v>#REF!</v>
      </c>
      <c r="D229" s="179" t="e">
        <f t="array" ref="D229">SUM(IF('[5]2013-2016 Projects'!$O$4:$O$202="New-200",'[5]2013-2016 Projects'!$V$4:$V$202,0))</f>
        <v>#REF!</v>
      </c>
      <c r="E229" s="179" t="e">
        <f t="array" ref="E229">SUM(IF('[5]2013-2016 Projects'!$O$4:$O$202="New-200",'[5]2013-2016 Projects'!$V$4:$V$202,0))</f>
        <v>#REF!</v>
      </c>
      <c r="F229" s="179" t="e">
        <f t="array" ref="F229">SUM(IF('[5]2013-2016 Projects'!$O$4:$O$202="New-200",'[5]2013-2016 Projects'!$V$4:$V$202,0))</f>
        <v>#REF!</v>
      </c>
      <c r="G229" s="179"/>
      <c r="H229" s="179">
        <f t="array" ref="H229">SUM(IF('2014-2017 Projects'!$T$5:$T$258="New-200",'2014-2017 Projects'!$AK$5:$AK$258,0))</f>
        <v>0</v>
      </c>
      <c r="I229" s="179"/>
      <c r="J229" s="179"/>
      <c r="K229" s="179"/>
      <c r="L229" s="179"/>
      <c r="M229" s="179"/>
      <c r="N229" s="179"/>
      <c r="O229" s="179"/>
      <c r="P229" s="179"/>
      <c r="Q229" s="179"/>
      <c r="R229" s="179"/>
      <c r="S229" s="179"/>
      <c r="T229" s="179"/>
      <c r="U229" s="179"/>
      <c r="V229" s="179"/>
      <c r="W229" s="179"/>
      <c r="X229" s="179"/>
      <c r="Y229" s="179"/>
      <c r="Z229" s="179"/>
      <c r="AA229" s="179"/>
      <c r="AB229" s="179"/>
      <c r="AC229" s="179"/>
      <c r="AD229" s="179"/>
      <c r="AE229" s="179"/>
      <c r="AF229" s="179"/>
      <c r="AG229" s="179"/>
      <c r="AH229" s="179"/>
      <c r="AI229" s="179"/>
      <c r="AJ229" s="179"/>
      <c r="AK229" s="179"/>
      <c r="AL229" s="179"/>
      <c r="AM229" s="179"/>
      <c r="AN229" s="179"/>
      <c r="AO229" s="179">
        <f t="array" ref="AO229">SUM(IF('2014-2017 Projects'!$T$5:$T$258="New-200",'2014-2017 Projects'!$CG$5:$CG$258,0))</f>
        <v>0</v>
      </c>
      <c r="AP229" s="179">
        <f t="array" ref="AP229">SUM(IF('2014-2017 Projects'!$T$5:$T$258="New-200",'2014-2017 Projects'!$CH$5:$CH$258,0))</f>
        <v>0</v>
      </c>
    </row>
    <row r="230" spans="1:42" ht="13.5" x14ac:dyDescent="0.25">
      <c r="A230" s="196" t="s">
        <v>373</v>
      </c>
      <c r="B230" s="180"/>
      <c r="C230" s="180"/>
      <c r="D230" s="180"/>
      <c r="E230" s="180"/>
      <c r="F230" s="180"/>
      <c r="G230" s="180"/>
      <c r="H230" s="180"/>
      <c r="I230" s="180"/>
      <c r="J230" s="180"/>
      <c r="K230" s="180"/>
      <c r="L230" s="180"/>
      <c r="M230" s="180"/>
      <c r="N230" s="180"/>
      <c r="O230" s="180"/>
      <c r="P230" s="180"/>
      <c r="Q230" s="180"/>
      <c r="R230" s="180"/>
      <c r="S230" s="180"/>
      <c r="T230" s="180"/>
      <c r="U230" s="180"/>
      <c r="V230" s="180"/>
      <c r="W230" s="180"/>
      <c r="X230" s="180"/>
      <c r="Y230" s="180"/>
      <c r="Z230" s="180"/>
      <c r="AA230" s="180"/>
      <c r="AB230" s="180"/>
      <c r="AC230" s="180"/>
      <c r="AD230" s="180"/>
      <c r="AE230" s="180"/>
      <c r="AF230" s="180"/>
      <c r="AG230" s="180"/>
      <c r="AH230" s="180"/>
      <c r="AI230" s="180"/>
      <c r="AJ230" s="180"/>
      <c r="AK230" s="180"/>
      <c r="AL230" s="180"/>
      <c r="AM230" s="180"/>
      <c r="AN230" s="180"/>
      <c r="AO230" s="180"/>
      <c r="AP230" s="180"/>
    </row>
    <row r="231" spans="1:42" ht="13.5" x14ac:dyDescent="0.25">
      <c r="A231" s="196" t="s">
        <v>4</v>
      </c>
      <c r="B231" s="179">
        <v>0</v>
      </c>
      <c r="C231" s="179">
        <v>0</v>
      </c>
      <c r="D231" s="179">
        <v>0</v>
      </c>
      <c r="E231" s="179">
        <v>0</v>
      </c>
      <c r="F231" s="179">
        <v>0</v>
      </c>
      <c r="G231" s="179"/>
      <c r="H231" s="179">
        <f t="array" ref="H231">SUM(IF('2014-2017 Projects'!$T$5:$T$258="New-220",'2014-2017 Projects'!$AK$5:$AK$258,0))</f>
        <v>10000000</v>
      </c>
      <c r="I231" s="179"/>
      <c r="J231" s="179"/>
      <c r="K231" s="179"/>
      <c r="L231" s="179"/>
      <c r="M231" s="179"/>
      <c r="N231" s="179"/>
      <c r="O231" s="179"/>
      <c r="P231" s="179"/>
      <c r="Q231" s="179"/>
      <c r="R231" s="179"/>
      <c r="S231" s="179"/>
      <c r="T231" s="179"/>
      <c r="U231" s="179"/>
      <c r="V231" s="179"/>
      <c r="W231" s="179"/>
      <c r="X231" s="179"/>
      <c r="Y231" s="179"/>
      <c r="Z231" s="179"/>
      <c r="AA231" s="179"/>
      <c r="AB231" s="179"/>
      <c r="AC231" s="179"/>
      <c r="AD231" s="179"/>
      <c r="AE231" s="179"/>
      <c r="AF231" s="179"/>
      <c r="AG231" s="179"/>
      <c r="AH231" s="179"/>
      <c r="AI231" s="179"/>
      <c r="AJ231" s="179"/>
      <c r="AK231" s="179"/>
      <c r="AL231" s="179"/>
      <c r="AM231" s="179"/>
      <c r="AN231" s="179"/>
      <c r="AO231" s="179">
        <f t="array" ref="AO231">SUM(IF('2014-2017 Projects'!$T$5:$T$258="New-220",'2014-2017 Projects'!$CG$5:$CG$258,0))</f>
        <v>8000000</v>
      </c>
      <c r="AP231" s="179">
        <f t="array" ref="AP231">SUM(IF('2014-2017 Projects'!$T$5:$T$258="New-220",'2014-2017 Projects'!$CH$5:$CH$258,0))</f>
        <v>8000000</v>
      </c>
    </row>
    <row r="232" spans="1:42" ht="13.5" x14ac:dyDescent="0.25">
      <c r="A232" s="196" t="s">
        <v>374</v>
      </c>
      <c r="B232" s="180"/>
      <c r="C232" s="180"/>
      <c r="D232" s="180"/>
      <c r="E232" s="180"/>
      <c r="F232" s="180"/>
      <c r="G232" s="180"/>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c r="AL232" s="180"/>
      <c r="AM232" s="180"/>
      <c r="AN232" s="180"/>
      <c r="AO232" s="180"/>
      <c r="AP232" s="180"/>
    </row>
    <row r="233" spans="1:42" ht="13.5" x14ac:dyDescent="0.25">
      <c r="A233" s="196" t="s">
        <v>36</v>
      </c>
      <c r="B233" s="209" t="e">
        <f t="array" ref="B233">SUM(IF('[5]2013-2016 Projects'!$O$4:$O$202="New-220",'[5]2013-2016 Projects'!$V$4:$V$202,0))</f>
        <v>#REF!</v>
      </c>
      <c r="C233" s="209" t="e">
        <f t="array" ref="C233">SUM(IF('[5]2013-2016 Projects'!$O$4:$O$202="New-220",'[5]2013-2016 Projects'!$V$4:$V$202,0))</f>
        <v>#REF!</v>
      </c>
      <c r="D233" s="209" t="e">
        <f t="array" ref="D233">SUM(IF('[5]2013-2016 Projects'!$O$4:$O$202="New-220",'[5]2013-2016 Projects'!$V$4:$V$202,0))</f>
        <v>#REF!</v>
      </c>
      <c r="E233" s="209" t="e">
        <f t="array" ref="E233">SUM(IF('[5]2013-2016 Projects'!$O$4:$O$202="New-220",'[5]2013-2016 Projects'!$V$4:$V$202,0))</f>
        <v>#REF!</v>
      </c>
      <c r="F233" s="209" t="e">
        <f t="array" ref="F233">SUM(IF('[5]2013-2016 Projects'!$O$4:$O$202="New-220",'[5]2013-2016 Projects'!$V$4:$V$202,0))</f>
        <v>#REF!</v>
      </c>
      <c r="G233" s="209"/>
      <c r="H233" s="209"/>
      <c r="I233" s="209"/>
      <c r="J233" s="209"/>
      <c r="K233" s="209"/>
      <c r="L233" s="209"/>
      <c r="M233" s="209"/>
      <c r="N233" s="209"/>
      <c r="O233" s="209"/>
      <c r="P233" s="209"/>
      <c r="Q233" s="209"/>
      <c r="R233" s="209"/>
      <c r="S233" s="209"/>
      <c r="T233" s="209"/>
      <c r="U233" s="209"/>
      <c r="V233" s="209"/>
      <c r="W233" s="209"/>
      <c r="X233" s="209"/>
      <c r="Y233" s="209"/>
      <c r="Z233" s="209"/>
      <c r="AA233" s="209"/>
      <c r="AB233" s="209"/>
      <c r="AC233" s="209"/>
      <c r="AD233" s="209"/>
      <c r="AE233" s="209"/>
      <c r="AF233" s="209"/>
      <c r="AG233" s="209"/>
      <c r="AH233" s="209"/>
      <c r="AI233" s="209"/>
      <c r="AJ233" s="209"/>
      <c r="AK233" s="209"/>
      <c r="AL233" s="209"/>
      <c r="AM233" s="209"/>
      <c r="AN233" s="209"/>
      <c r="AO233" s="209"/>
      <c r="AP233" s="209"/>
    </row>
    <row r="234" spans="1:42" ht="13.5" x14ac:dyDescent="0.25">
      <c r="A234" s="208"/>
      <c r="B234" s="175"/>
      <c r="C234" s="175"/>
      <c r="D234" s="175"/>
      <c r="E234" s="175"/>
      <c r="F234" s="175"/>
      <c r="G234" s="175"/>
      <c r="H234" s="175"/>
      <c r="I234" s="175"/>
      <c r="J234" s="175"/>
      <c r="K234" s="175"/>
      <c r="L234" s="175"/>
      <c r="M234" s="175"/>
      <c r="N234" s="175"/>
      <c r="O234" s="175"/>
      <c r="P234" s="175"/>
      <c r="Q234" s="175"/>
      <c r="R234" s="175"/>
      <c r="S234" s="175"/>
      <c r="T234" s="175"/>
      <c r="U234" s="175"/>
      <c r="V234" s="175"/>
      <c r="W234" s="175"/>
      <c r="X234" s="175"/>
      <c r="Y234" s="175"/>
      <c r="Z234" s="175"/>
      <c r="AA234" s="175"/>
      <c r="AB234" s="175"/>
      <c r="AC234" s="175"/>
      <c r="AD234" s="175"/>
      <c r="AE234" s="175"/>
      <c r="AF234" s="175"/>
      <c r="AG234" s="175"/>
      <c r="AH234" s="175"/>
      <c r="AI234" s="175"/>
      <c r="AJ234" s="175"/>
      <c r="AK234" s="175"/>
      <c r="AL234" s="175"/>
      <c r="AM234" s="175"/>
      <c r="AN234" s="175"/>
      <c r="AO234" s="175"/>
      <c r="AP234" s="175"/>
    </row>
    <row r="235" spans="1:42" ht="13.5" x14ac:dyDescent="0.25">
      <c r="A235" s="203" t="s">
        <v>342</v>
      </c>
      <c r="B235" s="175">
        <f>SUM(B236:B237)</f>
        <v>0</v>
      </c>
      <c r="C235" s="175">
        <f>SUM(C236:C237)</f>
        <v>0</v>
      </c>
      <c r="D235" s="175">
        <f>SUM(D236:D237)</f>
        <v>0</v>
      </c>
      <c r="E235" s="175">
        <f>SUM(E236:E237)</f>
        <v>0</v>
      </c>
      <c r="F235" s="175">
        <f>SUM(F236:F237)</f>
        <v>0</v>
      </c>
      <c r="G235" s="175"/>
      <c r="H235" s="175">
        <f>SUM(H236:H237)</f>
        <v>0</v>
      </c>
      <c r="I235" s="175"/>
      <c r="J235" s="175"/>
      <c r="K235" s="175"/>
      <c r="L235" s="175"/>
      <c r="M235" s="175"/>
      <c r="N235" s="175"/>
      <c r="O235" s="175"/>
      <c r="P235" s="175"/>
      <c r="Q235" s="175"/>
      <c r="R235" s="175"/>
      <c r="S235" s="175"/>
      <c r="T235" s="175"/>
      <c r="U235" s="175"/>
      <c r="V235" s="175"/>
      <c r="W235" s="175"/>
      <c r="X235" s="175"/>
      <c r="Y235" s="175"/>
      <c r="Z235" s="175"/>
      <c r="AA235" s="175"/>
      <c r="AB235" s="175"/>
      <c r="AC235" s="175"/>
      <c r="AD235" s="175"/>
      <c r="AE235" s="175"/>
      <c r="AF235" s="175"/>
      <c r="AG235" s="175"/>
      <c r="AH235" s="175"/>
      <c r="AI235" s="175"/>
      <c r="AJ235" s="175"/>
      <c r="AK235" s="175"/>
      <c r="AL235" s="175"/>
      <c r="AM235" s="175"/>
      <c r="AN235" s="175"/>
      <c r="AO235" s="175">
        <f>SUM(AO236:AO237)</f>
        <v>0</v>
      </c>
      <c r="AP235" s="175">
        <f>SUM(AP236:AP237)</f>
        <v>0</v>
      </c>
    </row>
    <row r="236" spans="1:42" ht="13.5" x14ac:dyDescent="0.25">
      <c r="A236" s="196" t="s">
        <v>375</v>
      </c>
      <c r="B236" s="210"/>
      <c r="C236" s="210"/>
      <c r="D236" s="210"/>
      <c r="E236" s="210"/>
      <c r="F236" s="210"/>
      <c r="G236" s="210"/>
      <c r="H236" s="210"/>
      <c r="I236" s="210"/>
      <c r="J236" s="210"/>
      <c r="K236" s="210"/>
      <c r="L236" s="210"/>
      <c r="M236" s="210"/>
      <c r="N236" s="210"/>
      <c r="O236" s="210"/>
      <c r="P236" s="210"/>
      <c r="Q236" s="210"/>
      <c r="R236" s="210"/>
      <c r="S236" s="210"/>
      <c r="T236" s="210"/>
      <c r="U236" s="210"/>
      <c r="V236" s="210"/>
      <c r="W236" s="210"/>
      <c r="X236" s="210"/>
      <c r="Y236" s="210"/>
      <c r="Z236" s="210"/>
      <c r="AA236" s="210"/>
      <c r="AB236" s="210"/>
      <c r="AC236" s="210"/>
      <c r="AD236" s="210"/>
      <c r="AE236" s="210"/>
      <c r="AF236" s="210"/>
      <c r="AG236" s="210"/>
      <c r="AH236" s="210"/>
      <c r="AI236" s="210"/>
      <c r="AJ236" s="210"/>
      <c r="AK236" s="210"/>
      <c r="AL236" s="210"/>
      <c r="AM236" s="210"/>
      <c r="AN236" s="210"/>
      <c r="AO236" s="210"/>
      <c r="AP236" s="210"/>
    </row>
    <row r="237" spans="1:42" ht="13.5" x14ac:dyDescent="0.25">
      <c r="A237" s="195" t="s">
        <v>36</v>
      </c>
      <c r="B237" s="211"/>
      <c r="C237" s="211"/>
      <c r="D237" s="211"/>
      <c r="E237" s="211"/>
      <c r="F237" s="211"/>
      <c r="G237" s="211"/>
      <c r="H237" s="211"/>
      <c r="I237" s="211"/>
      <c r="J237" s="211"/>
      <c r="K237" s="211"/>
      <c r="L237" s="211"/>
      <c r="M237" s="211"/>
      <c r="N237" s="211"/>
      <c r="O237" s="211"/>
      <c r="P237" s="211"/>
      <c r="Q237" s="211"/>
      <c r="R237" s="211"/>
      <c r="S237" s="211"/>
      <c r="T237" s="211"/>
      <c r="U237" s="211"/>
      <c r="V237" s="211"/>
      <c r="W237" s="211"/>
      <c r="X237" s="211"/>
      <c r="Y237" s="211"/>
      <c r="Z237" s="211"/>
      <c r="AA237" s="211"/>
      <c r="AB237" s="211"/>
      <c r="AC237" s="211"/>
      <c r="AD237" s="211"/>
      <c r="AE237" s="211"/>
      <c r="AF237" s="211"/>
      <c r="AG237" s="211"/>
      <c r="AH237" s="211"/>
      <c r="AI237" s="211"/>
      <c r="AJ237" s="211"/>
      <c r="AK237" s="211"/>
      <c r="AL237" s="211"/>
      <c r="AM237" s="211"/>
      <c r="AN237" s="211"/>
      <c r="AO237" s="211"/>
      <c r="AP237" s="211"/>
    </row>
    <row r="238" spans="1:42" ht="13.5" x14ac:dyDescent="0.25">
      <c r="A238" s="208"/>
      <c r="B238" s="175"/>
      <c r="C238" s="175"/>
      <c r="D238" s="175"/>
      <c r="E238" s="175"/>
      <c r="F238" s="175"/>
      <c r="G238" s="175"/>
      <c r="H238" s="175"/>
      <c r="I238" s="175"/>
      <c r="J238" s="175"/>
      <c r="K238" s="175"/>
      <c r="L238" s="175"/>
      <c r="M238" s="175"/>
      <c r="N238" s="175"/>
      <c r="O238" s="175"/>
      <c r="P238" s="175"/>
      <c r="Q238" s="175"/>
      <c r="R238" s="175"/>
      <c r="S238" s="175"/>
      <c r="T238" s="175"/>
      <c r="U238" s="175"/>
      <c r="V238" s="175"/>
      <c r="W238" s="175"/>
      <c r="X238" s="175"/>
      <c r="Y238" s="175"/>
      <c r="Z238" s="175"/>
      <c r="AA238" s="175"/>
      <c r="AB238" s="175"/>
      <c r="AC238" s="175"/>
      <c r="AD238" s="175"/>
      <c r="AE238" s="175"/>
      <c r="AF238" s="175"/>
      <c r="AG238" s="175"/>
      <c r="AH238" s="175"/>
      <c r="AI238" s="175"/>
      <c r="AJ238" s="175"/>
      <c r="AK238" s="175"/>
      <c r="AL238" s="175"/>
      <c r="AM238" s="175"/>
      <c r="AN238" s="175"/>
      <c r="AO238" s="175"/>
      <c r="AP238" s="175"/>
    </row>
    <row r="239" spans="1:42" ht="13.5" x14ac:dyDescent="0.25">
      <c r="A239" s="203" t="s">
        <v>343</v>
      </c>
      <c r="B239" s="184" t="e">
        <f>SUM(B240:B241)</f>
        <v>#REF!</v>
      </c>
      <c r="C239" s="184" t="e">
        <f>SUM(C240:C241)</f>
        <v>#REF!</v>
      </c>
      <c r="D239" s="184" t="e">
        <f>SUM(D240:D241)</f>
        <v>#REF!</v>
      </c>
      <c r="E239" s="184" t="e">
        <f>SUM(E240:E241)</f>
        <v>#REF!</v>
      </c>
      <c r="F239" s="184" t="e">
        <f>SUM(F240:F241)</f>
        <v>#REF!</v>
      </c>
      <c r="G239" s="184"/>
      <c r="H239" s="184">
        <f>SUM(H240:H241)</f>
        <v>89536108</v>
      </c>
      <c r="I239" s="184"/>
      <c r="J239" s="184"/>
      <c r="K239" s="184"/>
      <c r="L239" s="184"/>
      <c r="M239" s="184"/>
      <c r="N239" s="184"/>
      <c r="O239" s="184"/>
      <c r="P239" s="184"/>
      <c r="Q239" s="184"/>
      <c r="R239" s="184"/>
      <c r="S239" s="184"/>
      <c r="T239" s="184"/>
      <c r="U239" s="184"/>
      <c r="V239" s="184"/>
      <c r="W239" s="184"/>
      <c r="X239" s="184"/>
      <c r="Y239" s="184"/>
      <c r="Z239" s="184"/>
      <c r="AA239" s="184"/>
      <c r="AB239" s="184"/>
      <c r="AC239" s="184"/>
      <c r="AD239" s="184"/>
      <c r="AE239" s="184"/>
      <c r="AF239" s="184"/>
      <c r="AG239" s="184"/>
      <c r="AH239" s="184"/>
      <c r="AI239" s="184"/>
      <c r="AJ239" s="184"/>
      <c r="AK239" s="184"/>
      <c r="AL239" s="184"/>
      <c r="AM239" s="184"/>
      <c r="AN239" s="184"/>
      <c r="AO239" s="184">
        <f>SUM(AO240:AO241)</f>
        <v>162318500</v>
      </c>
      <c r="AP239" s="184">
        <f>SUM(AP240:AP241)</f>
        <v>266264685</v>
      </c>
    </row>
    <row r="240" spans="1:42" ht="13.5" x14ac:dyDescent="0.25">
      <c r="A240" s="196" t="s">
        <v>376</v>
      </c>
      <c r="B240" s="212" t="e">
        <f t="array" ref="B240">SUM(IF('[5]2013-2016 Projects'!$O$4:$O$202="New-80",'[5]2013-2016 Projects'!$V$4:$V$202,0))</f>
        <v>#REF!</v>
      </c>
      <c r="C240" s="212" t="e">
        <f t="array" ref="C240">SUM(IF('[5]2013-2016 Projects'!$O$4:$O$202="New-80",'[5]2013-2016 Projects'!$V$4:$V$202,0))</f>
        <v>#REF!</v>
      </c>
      <c r="D240" s="212" t="e">
        <f t="array" ref="D240">SUM(IF('[5]2013-2016 Projects'!$O$4:$O$202="New-80",'[5]2013-2016 Projects'!$V$4:$V$202,0))</f>
        <v>#REF!</v>
      </c>
      <c r="E240" s="212" t="e">
        <f t="array" ref="E240">SUM(IF('[5]2013-2016 Projects'!$O$4:$O$202="New-80",'[5]2013-2016 Projects'!$V$4:$V$202,0))</f>
        <v>#REF!</v>
      </c>
      <c r="F240" s="212" t="e">
        <f t="array" ref="F240">SUM(IF('[5]2013-2016 Projects'!$O$4:$O$202="New-80",'[5]2013-2016 Projects'!$V$4:$V$202,0))</f>
        <v>#REF!</v>
      </c>
      <c r="G240" s="212"/>
      <c r="H240" s="179">
        <f t="array" ref="H240">SUM(IF('2014-2017 Projects'!$T$5:$T$258="New-80",'2014-2017 Projects'!$AK$5:$AK$258,0))</f>
        <v>89536108</v>
      </c>
      <c r="I240" s="179"/>
      <c r="J240" s="179"/>
      <c r="K240" s="179"/>
      <c r="L240" s="179"/>
      <c r="M240" s="179"/>
      <c r="N240" s="179"/>
      <c r="O240" s="179"/>
      <c r="P240" s="179"/>
      <c r="Q240" s="179"/>
      <c r="R240" s="179"/>
      <c r="S240" s="179"/>
      <c r="T240" s="179"/>
      <c r="U240" s="179"/>
      <c r="V240" s="179"/>
      <c r="W240" s="179"/>
      <c r="X240" s="179"/>
      <c r="Y240" s="179"/>
      <c r="Z240" s="179"/>
      <c r="AA240" s="179"/>
      <c r="AB240" s="179"/>
      <c r="AC240" s="179"/>
      <c r="AD240" s="179"/>
      <c r="AE240" s="179"/>
      <c r="AF240" s="179"/>
      <c r="AG240" s="179"/>
      <c r="AH240" s="179"/>
      <c r="AI240" s="179"/>
      <c r="AJ240" s="179"/>
      <c r="AK240" s="179"/>
      <c r="AL240" s="179"/>
      <c r="AM240" s="179"/>
      <c r="AN240" s="179"/>
      <c r="AO240" s="179">
        <f t="array" ref="AO240">SUM(IF('2014-2017 Projects'!$T$5:$T$258="New-80",'2014-2017 Projects'!$CG$5:$CG$258,0))</f>
        <v>162318500</v>
      </c>
      <c r="AP240" s="179">
        <f t="array" ref="AP240">SUM(IF('2014-2017 Projects'!$T$5:$T$258="New-80",'2014-2017 Projects'!$CH$5:$CH$258,0))</f>
        <v>266264685</v>
      </c>
    </row>
    <row r="241" spans="1:42" ht="13.5" x14ac:dyDescent="0.25">
      <c r="A241" s="196" t="s">
        <v>36</v>
      </c>
      <c r="B241" s="213"/>
      <c r="C241" s="213"/>
      <c r="D241" s="213"/>
      <c r="E241" s="213"/>
      <c r="F241" s="213"/>
      <c r="G241" s="213"/>
      <c r="H241" s="213"/>
      <c r="I241" s="213"/>
      <c r="J241" s="213"/>
      <c r="K241" s="213"/>
      <c r="L241" s="213"/>
      <c r="M241" s="213"/>
      <c r="N241" s="213"/>
      <c r="O241" s="213"/>
      <c r="P241" s="213"/>
      <c r="Q241" s="213"/>
      <c r="R241" s="213"/>
      <c r="S241" s="213"/>
      <c r="T241" s="213"/>
      <c r="U241" s="213"/>
      <c r="V241" s="213"/>
      <c r="W241" s="213"/>
      <c r="X241" s="213"/>
      <c r="Y241" s="213"/>
      <c r="Z241" s="213"/>
      <c r="AA241" s="213"/>
      <c r="AB241" s="213"/>
      <c r="AC241" s="213"/>
      <c r="AD241" s="213"/>
      <c r="AE241" s="213"/>
      <c r="AF241" s="213"/>
      <c r="AG241" s="213"/>
      <c r="AH241" s="213"/>
      <c r="AI241" s="213"/>
      <c r="AJ241" s="213"/>
      <c r="AK241" s="213"/>
      <c r="AL241" s="213"/>
      <c r="AM241" s="213"/>
      <c r="AN241" s="213"/>
      <c r="AO241" s="213"/>
      <c r="AP241" s="213"/>
    </row>
    <row r="242" spans="1:42" ht="13.5" x14ac:dyDescent="0.25">
      <c r="A242" s="208"/>
      <c r="B242" s="175"/>
      <c r="C242" s="175"/>
      <c r="D242" s="175"/>
      <c r="E242" s="175"/>
      <c r="F242" s="175"/>
      <c r="G242" s="175"/>
      <c r="H242" s="175"/>
      <c r="I242" s="175"/>
      <c r="J242" s="175"/>
      <c r="K242" s="175"/>
      <c r="L242" s="175"/>
      <c r="M242" s="175"/>
      <c r="N242" s="175"/>
      <c r="O242" s="175"/>
      <c r="P242" s="175"/>
      <c r="Q242" s="175"/>
      <c r="R242" s="175"/>
      <c r="S242" s="175"/>
      <c r="T242" s="175"/>
      <c r="U242" s="175"/>
      <c r="V242" s="175"/>
      <c r="W242" s="175"/>
      <c r="X242" s="175"/>
      <c r="Y242" s="175"/>
      <c r="Z242" s="175"/>
      <c r="AA242" s="175"/>
      <c r="AB242" s="175"/>
      <c r="AC242" s="175"/>
      <c r="AD242" s="175"/>
      <c r="AE242" s="175"/>
      <c r="AF242" s="175"/>
      <c r="AG242" s="175"/>
      <c r="AH242" s="175"/>
      <c r="AI242" s="175"/>
      <c r="AJ242" s="175"/>
      <c r="AK242" s="175"/>
      <c r="AL242" s="175"/>
      <c r="AM242" s="175"/>
      <c r="AN242" s="175"/>
      <c r="AO242" s="175"/>
      <c r="AP242" s="175"/>
    </row>
    <row r="243" spans="1:42" ht="13.5" x14ac:dyDescent="0.25">
      <c r="A243" s="203" t="s">
        <v>5</v>
      </c>
      <c r="B243" s="184" t="e">
        <f>SUM(B244:B255)</f>
        <v>#REF!</v>
      </c>
      <c r="C243" s="184" t="e">
        <f>SUM(C244:C255)</f>
        <v>#REF!</v>
      </c>
      <c r="D243" s="184" t="e">
        <f>SUM(D244:D255)</f>
        <v>#REF!</v>
      </c>
      <c r="E243" s="184" t="e">
        <f>SUM(E244:E255)</f>
        <v>#REF!</v>
      </c>
      <c r="F243" s="184" t="e">
        <f>SUM(F244:F255)</f>
        <v>#REF!</v>
      </c>
      <c r="G243" s="184"/>
      <c r="H243" s="184">
        <f>SUM(H244:H255)</f>
        <v>59650000</v>
      </c>
      <c r="I243" s="184"/>
      <c r="J243" s="184"/>
      <c r="K243" s="184"/>
      <c r="L243" s="184"/>
      <c r="M243" s="184"/>
      <c r="N243" s="184"/>
      <c r="O243" s="184"/>
      <c r="P243" s="184"/>
      <c r="Q243" s="184"/>
      <c r="R243" s="184"/>
      <c r="S243" s="184"/>
      <c r="T243" s="184"/>
      <c r="U243" s="184"/>
      <c r="V243" s="184"/>
      <c r="W243" s="184"/>
      <c r="X243" s="184"/>
      <c r="Y243" s="184"/>
      <c r="Z243" s="184"/>
      <c r="AA243" s="184"/>
      <c r="AB243" s="184"/>
      <c r="AC243" s="184"/>
      <c r="AD243" s="184"/>
      <c r="AE243" s="184"/>
      <c r="AF243" s="184"/>
      <c r="AG243" s="184"/>
      <c r="AH243" s="184"/>
      <c r="AI243" s="184"/>
      <c r="AJ243" s="184"/>
      <c r="AK243" s="184"/>
      <c r="AL243" s="184"/>
      <c r="AM243" s="184"/>
      <c r="AN243" s="184"/>
      <c r="AO243" s="184">
        <f>SUM(AO244:AO255)</f>
        <v>78128000</v>
      </c>
      <c r="AP243" s="184">
        <f>SUM(AP244:AP255)</f>
        <v>84144000</v>
      </c>
    </row>
    <row r="244" spans="1:42" ht="13.5" x14ac:dyDescent="0.25">
      <c r="A244" s="195" t="s">
        <v>377</v>
      </c>
      <c r="B244" s="212" t="e">
        <f t="array" ref="B244">SUM(IF('[5]2013-2016 Projects'!$O$4:$O$202="New-250",'[5]2013-2016 Projects'!$V$4:$V$202,0))</f>
        <v>#REF!</v>
      </c>
      <c r="C244" s="212" t="e">
        <f t="array" ref="C244">SUM(IF('[5]2013-2016 Projects'!$O$4:$O$202="New-250",'[5]2013-2016 Projects'!$V$4:$V$202,0))</f>
        <v>#REF!</v>
      </c>
      <c r="D244" s="212" t="e">
        <f t="array" ref="D244">SUM(IF('[5]2013-2016 Projects'!$O$4:$O$202="New-250",'[5]2013-2016 Projects'!$V$4:$V$202,0))</f>
        <v>#REF!</v>
      </c>
      <c r="E244" s="212" t="e">
        <f t="array" ref="E244">SUM(IF('[5]2013-2016 Projects'!$O$4:$O$202="New-250",'[5]2013-2016 Projects'!$V$4:$V$202,0))</f>
        <v>#REF!</v>
      </c>
      <c r="F244" s="212" t="e">
        <f t="array" ref="F244">SUM(IF('[5]2013-2016 Projects'!$O$4:$O$202="New-250",'[5]2013-2016 Projects'!$V$4:$V$202,0))</f>
        <v>#REF!</v>
      </c>
      <c r="G244" s="212"/>
      <c r="H244" s="179">
        <f t="array" ref="H244">SUM(IF('2014-2017 Projects'!$T$5:$T$258="New-250",'2014-2017 Projects'!$AK$5:$AK$258,0))</f>
        <v>18600000</v>
      </c>
      <c r="I244" s="179"/>
      <c r="J244" s="179"/>
      <c r="K244" s="179"/>
      <c r="L244" s="179"/>
      <c r="M244" s="179"/>
      <c r="N244" s="179"/>
      <c r="O244" s="179"/>
      <c r="P244" s="179"/>
      <c r="Q244" s="179"/>
      <c r="R244" s="179"/>
      <c r="S244" s="179"/>
      <c r="T244" s="179"/>
      <c r="U244" s="179"/>
      <c r="V244" s="179"/>
      <c r="W244" s="179"/>
      <c r="X244" s="179"/>
      <c r="Y244" s="179"/>
      <c r="Z244" s="179"/>
      <c r="AA244" s="179"/>
      <c r="AB244" s="179"/>
      <c r="AC244" s="179"/>
      <c r="AD244" s="179"/>
      <c r="AE244" s="179"/>
      <c r="AF244" s="179"/>
      <c r="AG244" s="179"/>
      <c r="AH244" s="179"/>
      <c r="AI244" s="179"/>
      <c r="AJ244" s="179"/>
      <c r="AK244" s="179"/>
      <c r="AL244" s="179"/>
      <c r="AM244" s="179"/>
      <c r="AN244" s="179"/>
      <c r="AO244" s="179">
        <f t="array" ref="AO244">SUM(IF('2014-2017 Projects'!$T$5:$T$258="New-250",'2014-2017 Projects'!$CG$5:$CG$258,0))</f>
        <v>18000000</v>
      </c>
      <c r="AP244" s="179">
        <f t="array" ref="AP244">SUM(IF('2014-2017 Projects'!$T$5:$T$258="New-250",'2014-2017 Projects'!$CH$5:$CH$258,0))</f>
        <v>18400000</v>
      </c>
    </row>
    <row r="245" spans="1:42" ht="13.5" x14ac:dyDescent="0.25">
      <c r="A245" s="195" t="s">
        <v>378</v>
      </c>
      <c r="B245" s="179" t="e">
        <f>B271</f>
        <v>#REF!</v>
      </c>
      <c r="C245" s="179" t="e">
        <f>C271</f>
        <v>#REF!</v>
      </c>
      <c r="D245" s="179" t="e">
        <f>D271</f>
        <v>#REF!</v>
      </c>
      <c r="E245" s="179" t="e">
        <f>E271</f>
        <v>#REF!</v>
      </c>
      <c r="F245" s="179" t="e">
        <f>F271</f>
        <v>#REF!</v>
      </c>
      <c r="G245" s="179"/>
      <c r="H245" s="179">
        <f>+H271</f>
        <v>4000000</v>
      </c>
      <c r="I245" s="179"/>
      <c r="J245" s="179"/>
      <c r="K245" s="179"/>
      <c r="L245" s="179"/>
      <c r="M245" s="179"/>
      <c r="N245" s="179"/>
      <c r="O245" s="179"/>
      <c r="P245" s="179"/>
      <c r="Q245" s="179"/>
      <c r="R245" s="179"/>
      <c r="S245" s="179"/>
      <c r="T245" s="179"/>
      <c r="U245" s="179"/>
      <c r="V245" s="179"/>
      <c r="W245" s="179"/>
      <c r="X245" s="179"/>
      <c r="Y245" s="179"/>
      <c r="Z245" s="179"/>
      <c r="AA245" s="179"/>
      <c r="AB245" s="179"/>
      <c r="AC245" s="179"/>
      <c r="AD245" s="179"/>
      <c r="AE245" s="179"/>
      <c r="AF245" s="179"/>
      <c r="AG245" s="179"/>
      <c r="AH245" s="179"/>
      <c r="AI245" s="179"/>
      <c r="AJ245" s="179"/>
      <c r="AK245" s="179"/>
      <c r="AL245" s="179"/>
      <c r="AM245" s="179"/>
      <c r="AN245" s="179"/>
      <c r="AO245" s="179">
        <f>+AO271</f>
        <v>4000000</v>
      </c>
      <c r="AP245" s="179">
        <f>+AP271</f>
        <v>4000000</v>
      </c>
    </row>
    <row r="246" spans="1:42" ht="13.5" x14ac:dyDescent="0.25">
      <c r="A246" s="195" t="s">
        <v>379</v>
      </c>
      <c r="B246" s="179" t="e">
        <f t="array" ref="B246">SUM(IF('[5]2013-2016 Projects'!$O$4:$O$202="New-260",'[5]2013-2016 Projects'!$V$4:$V$202,0))</f>
        <v>#REF!</v>
      </c>
      <c r="C246" s="179" t="e">
        <f t="array" ref="C246">SUM(IF('[5]2013-2016 Projects'!$O$4:$O$202="New-260",'[5]2013-2016 Projects'!$V$4:$V$202,0))</f>
        <v>#REF!</v>
      </c>
      <c r="D246" s="179" t="e">
        <f t="array" ref="D246">SUM(IF('[5]2013-2016 Projects'!$O$4:$O$202="New-260",'[5]2013-2016 Projects'!$V$4:$V$202,0))</f>
        <v>#REF!</v>
      </c>
      <c r="E246" s="179" t="e">
        <f t="array" ref="E246">SUM(IF('[5]2013-2016 Projects'!$O$4:$O$202="New-260",'[5]2013-2016 Projects'!$V$4:$V$202,0))</f>
        <v>#REF!</v>
      </c>
      <c r="F246" s="179" t="e">
        <f t="array" ref="F246">SUM(IF('[5]2013-2016 Projects'!$O$4:$O$202="New-260",'[5]2013-2016 Projects'!$V$4:$V$202,0))</f>
        <v>#REF!</v>
      </c>
      <c r="G246" s="179"/>
      <c r="H246" s="179">
        <f t="array" ref="H246">SUM(IF('2014-2017 Projects'!$T$5:$T$258="New-260",'2014-2017 Projects'!$AK$5:$AK$258,0))</f>
        <v>3500000</v>
      </c>
      <c r="I246" s="179"/>
      <c r="J246" s="179"/>
      <c r="K246" s="179"/>
      <c r="L246" s="179"/>
      <c r="M246" s="179"/>
      <c r="N246" s="179"/>
      <c r="O246" s="179"/>
      <c r="P246" s="179"/>
      <c r="Q246" s="179"/>
      <c r="R246" s="179"/>
      <c r="S246" s="179"/>
      <c r="T246" s="179"/>
      <c r="U246" s="179"/>
      <c r="V246" s="179"/>
      <c r="W246" s="179"/>
      <c r="X246" s="179"/>
      <c r="Y246" s="179"/>
      <c r="Z246" s="179"/>
      <c r="AA246" s="179"/>
      <c r="AB246" s="179"/>
      <c r="AC246" s="179"/>
      <c r="AD246" s="179"/>
      <c r="AE246" s="179"/>
      <c r="AF246" s="179"/>
      <c r="AG246" s="179"/>
      <c r="AH246" s="179"/>
      <c r="AI246" s="179"/>
      <c r="AJ246" s="179"/>
      <c r="AK246" s="179"/>
      <c r="AL246" s="179"/>
      <c r="AM246" s="179"/>
      <c r="AN246" s="179"/>
      <c r="AO246" s="179">
        <f t="array" ref="AO246">SUM(IF('2014-2017 Projects'!$T$5:$T$258="New-260",'2014-2017 Projects'!$CG$5:$CG$258,0))</f>
        <v>1500000</v>
      </c>
      <c r="AP246" s="179">
        <f t="array" ref="AP246">SUM(IF('2014-2017 Projects'!$T$5:$T$258="New-260",'2014-2017 Projects'!$CH$5:$CH$258,0))</f>
        <v>8300000</v>
      </c>
    </row>
    <row r="247" spans="1:42" ht="13.5" x14ac:dyDescent="0.25">
      <c r="A247" s="195" t="s">
        <v>380</v>
      </c>
      <c r="B247" s="179" t="e">
        <f t="array" ref="B247">SUM(IF('[5]2013-2016 Projects'!$O$4:$O$202="New-271",'[5]2013-2016 Projects'!$V$4:$V$202,0))</f>
        <v>#REF!</v>
      </c>
      <c r="C247" s="179" t="e">
        <f t="array" ref="C247">SUM(IF('[5]2013-2016 Projects'!$O$4:$O$202="New-271",'[5]2013-2016 Projects'!$V$4:$V$202,0))</f>
        <v>#REF!</v>
      </c>
      <c r="D247" s="179" t="e">
        <f t="array" ref="D247">SUM(IF('[5]2013-2016 Projects'!$O$4:$O$202="New-271",'[5]2013-2016 Projects'!$V$4:$V$202,0))</f>
        <v>#REF!</v>
      </c>
      <c r="E247" s="179" t="e">
        <f t="array" ref="E247">SUM(IF('[5]2013-2016 Projects'!$O$4:$O$202="New-271",'[5]2013-2016 Projects'!$V$4:$V$202,0))</f>
        <v>#REF!</v>
      </c>
      <c r="F247" s="179" t="e">
        <f t="array" ref="F247">SUM(IF('[5]2013-2016 Projects'!$O$4:$O$202="New-271",'[5]2013-2016 Projects'!$V$4:$V$202,0))</f>
        <v>#REF!</v>
      </c>
      <c r="G247" s="179"/>
      <c r="H247" s="179">
        <v>0</v>
      </c>
      <c r="I247" s="179"/>
      <c r="J247" s="179"/>
      <c r="K247" s="179"/>
      <c r="L247" s="179"/>
      <c r="M247" s="179"/>
      <c r="N247" s="179"/>
      <c r="O247" s="179"/>
      <c r="P247" s="179"/>
      <c r="Q247" s="179"/>
      <c r="R247" s="179"/>
      <c r="S247" s="179"/>
      <c r="T247" s="179"/>
      <c r="U247" s="179"/>
      <c r="V247" s="179"/>
      <c r="W247" s="179"/>
      <c r="X247" s="179"/>
      <c r="Y247" s="179"/>
      <c r="Z247" s="179"/>
      <c r="AA247" s="179"/>
      <c r="AB247" s="179"/>
      <c r="AC247" s="179"/>
      <c r="AD247" s="179"/>
      <c r="AE247" s="179"/>
      <c r="AF247" s="179"/>
      <c r="AG247" s="179"/>
      <c r="AH247" s="179"/>
      <c r="AI247" s="179"/>
      <c r="AJ247" s="179"/>
      <c r="AK247" s="179"/>
      <c r="AL247" s="179"/>
      <c r="AM247" s="179"/>
      <c r="AN247" s="179"/>
      <c r="AO247" s="179">
        <v>0</v>
      </c>
      <c r="AP247" s="179">
        <v>0</v>
      </c>
    </row>
    <row r="248" spans="1:42" ht="13.5" x14ac:dyDescent="0.25">
      <c r="A248" s="195" t="s">
        <v>381</v>
      </c>
      <c r="B248" s="179" t="e">
        <f t="array" ref="B248">SUM(IF('[5]2013-2016 Projects'!$O$4:$O$202="New-270",'[5]2013-2016 Projects'!$V$4:$V$202,0))</f>
        <v>#REF!</v>
      </c>
      <c r="C248" s="179" t="e">
        <f t="array" ref="C248">SUM(IF('[5]2013-2016 Projects'!$O$4:$O$202="New-270",'[5]2013-2016 Projects'!$V$4:$V$202,0))</f>
        <v>#REF!</v>
      </c>
      <c r="D248" s="179" t="e">
        <f t="array" ref="D248">SUM(IF('[5]2013-2016 Projects'!$O$4:$O$202="New-270",'[5]2013-2016 Projects'!$V$4:$V$202,0))</f>
        <v>#REF!</v>
      </c>
      <c r="E248" s="179" t="e">
        <f t="array" ref="E248">SUM(IF('[5]2013-2016 Projects'!$O$4:$O$202="New-270",'[5]2013-2016 Projects'!$V$4:$V$202,0))</f>
        <v>#REF!</v>
      </c>
      <c r="F248" s="179" t="e">
        <f t="array" ref="F248">SUM(IF('[5]2013-2016 Projects'!$O$4:$O$202="New-270",'[5]2013-2016 Projects'!$V$4:$V$202,0))</f>
        <v>#REF!</v>
      </c>
      <c r="G248" s="179"/>
      <c r="H248" s="179">
        <f t="array" ref="H248">SUM(IF('2014-2017 Projects'!$T$5:$T$258="New-270",'2014-2017 Projects'!$AK$5:$AK$258,0))</f>
        <v>28550000</v>
      </c>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f t="array" ref="AO248">SUM(IF('2014-2017 Projects'!$T$5:$T$258="New-270",'2014-2017 Projects'!$CG$5:$CG$258,0))</f>
        <v>37750000</v>
      </c>
      <c r="AP248" s="179">
        <f t="array" ref="AP248">SUM(IF('2014-2017 Projects'!$T$5:$T$258="New-270",'2014-2017 Projects'!$CH$5:$CH$258,0))</f>
        <v>35700000</v>
      </c>
    </row>
    <row r="249" spans="1:42" ht="13.5" x14ac:dyDescent="0.25">
      <c r="A249" s="195" t="s">
        <v>382</v>
      </c>
      <c r="B249" s="180"/>
      <c r="C249" s="180"/>
      <c r="D249" s="180"/>
      <c r="E249" s="180"/>
      <c r="F249" s="180"/>
      <c r="G249" s="180"/>
      <c r="H249" s="180"/>
      <c r="I249" s="180"/>
      <c r="J249" s="180"/>
      <c r="K249" s="180"/>
      <c r="L249" s="180"/>
      <c r="M249" s="180"/>
      <c r="N249" s="180"/>
      <c r="O249" s="180"/>
      <c r="P249" s="180"/>
      <c r="Q249" s="180"/>
      <c r="R249" s="180"/>
      <c r="S249" s="180"/>
      <c r="T249" s="180"/>
      <c r="U249" s="180"/>
      <c r="V249" s="180"/>
      <c r="W249" s="180"/>
      <c r="X249" s="180"/>
      <c r="Y249" s="180"/>
      <c r="Z249" s="180"/>
      <c r="AA249" s="180"/>
      <c r="AB249" s="180"/>
      <c r="AC249" s="180"/>
      <c r="AD249" s="180"/>
      <c r="AE249" s="180"/>
      <c r="AF249" s="180"/>
      <c r="AG249" s="180"/>
      <c r="AH249" s="180"/>
      <c r="AI249" s="180"/>
      <c r="AJ249" s="180"/>
      <c r="AK249" s="180"/>
      <c r="AL249" s="180"/>
      <c r="AM249" s="180"/>
      <c r="AN249" s="180"/>
      <c r="AO249" s="180"/>
      <c r="AP249" s="180"/>
    </row>
    <row r="250" spans="1:42" ht="13.5" x14ac:dyDescent="0.25">
      <c r="A250" s="195" t="s">
        <v>383</v>
      </c>
      <c r="B250" s="179" t="e">
        <f t="array" ref="B250">SUM(IF('[5]2013-2016 Projects'!$O$4:$O$202="New-290",'[5]2013-2016 Projects'!$V$4:$V$202,0))</f>
        <v>#REF!</v>
      </c>
      <c r="C250" s="179" t="e">
        <f t="array" ref="C250">SUM(IF('[5]2013-2016 Projects'!$O$4:$O$202="New-290",'[5]2013-2016 Projects'!$V$4:$V$202,0))</f>
        <v>#REF!</v>
      </c>
      <c r="D250" s="179" t="e">
        <f t="array" ref="D250">SUM(IF('[5]2013-2016 Projects'!$O$4:$O$202="New-290",'[5]2013-2016 Projects'!$V$4:$V$202,0))</f>
        <v>#REF!</v>
      </c>
      <c r="E250" s="179" t="e">
        <f t="array" ref="E250">SUM(IF('[5]2013-2016 Projects'!$O$4:$O$202="New-290",'[5]2013-2016 Projects'!$V$4:$V$202,0))</f>
        <v>#REF!</v>
      </c>
      <c r="F250" s="179" t="e">
        <f t="array" ref="F250">SUM(IF('[5]2013-2016 Projects'!$O$4:$O$202="New-290",'[5]2013-2016 Projects'!$V$4:$V$202,0))</f>
        <v>#REF!</v>
      </c>
      <c r="G250" s="179"/>
      <c r="H250" s="179">
        <f t="array" ref="H250">SUM(IF('2014-2017 Projects'!$T$5:$T$258="New-290",'2014-2017 Projects'!$AK$5:$AK$258,0))</f>
        <v>0</v>
      </c>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f t="array" ref="AO250">SUM(IF('2014-2017 Projects'!$T$5:$T$258="New-290",'2014-2017 Projects'!$CG$5:$CG$258,0))</f>
        <v>0</v>
      </c>
      <c r="AP250" s="179">
        <f t="array" ref="AP250">SUM(IF('2014-2017 Projects'!$T$5:$T$258="New-290",'2014-2017 Projects'!$CH$5:$CH$258,0))</f>
        <v>0</v>
      </c>
    </row>
    <row r="251" spans="1:42" ht="13.5" x14ac:dyDescent="0.25">
      <c r="A251" s="195" t="s">
        <v>384</v>
      </c>
      <c r="B251" s="179" t="e">
        <f t="array" ref="B251">SUM(IF('[5]2013-2016 Projects'!$O$4:$O$202="New-312",'[5]2013-2016 Projects'!$V$4:$V$202,0))</f>
        <v>#REF!</v>
      </c>
      <c r="C251" s="179" t="e">
        <f t="array" ref="C251">SUM(IF('[5]2013-2016 Projects'!$O$4:$O$202="New-312",'[5]2013-2016 Projects'!$V$4:$V$202,0))</f>
        <v>#REF!</v>
      </c>
      <c r="D251" s="179" t="e">
        <f t="array" ref="D251">SUM(IF('[5]2013-2016 Projects'!$O$4:$O$202="New-312",'[5]2013-2016 Projects'!$V$4:$V$202,0))</f>
        <v>#REF!</v>
      </c>
      <c r="E251" s="179" t="e">
        <f t="array" ref="E251">SUM(IF('[5]2013-2016 Projects'!$O$4:$O$202="New-312",'[5]2013-2016 Projects'!$V$4:$V$202,0))</f>
        <v>#REF!</v>
      </c>
      <c r="F251" s="179" t="e">
        <f t="array" ref="F251">SUM(IF('[5]2013-2016 Projects'!$O$4:$O$202="New-312",'[5]2013-2016 Projects'!$V$4:$V$202,0))</f>
        <v>#REF!</v>
      </c>
      <c r="G251" s="179"/>
      <c r="H251" s="179">
        <f t="array" ref="H251">SUM(IF('2014-2017 Projects'!$T$5:$T$258="New-312",'2014-2017 Projects'!$AK$5:$AK$258,0))</f>
        <v>0</v>
      </c>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f t="array" ref="AO251">SUM(IF('2014-2017 Projects'!$T$5:$T$258="New-312",'2014-2017 Projects'!$CG$5:$CG$258,0))</f>
        <v>0</v>
      </c>
      <c r="AP251" s="179">
        <f t="array" ref="AP251">SUM(IF('2014-2017 Projects'!$T$5:$T$258="New-312",'2014-2017 Projects'!$CH$5:$CH$258,0))</f>
        <v>0</v>
      </c>
    </row>
    <row r="252" spans="1:42" ht="13.5" x14ac:dyDescent="0.25">
      <c r="A252" s="195" t="s">
        <v>385</v>
      </c>
      <c r="B252" s="180"/>
      <c r="C252" s="180"/>
      <c r="D252" s="180"/>
      <c r="E252" s="180"/>
      <c r="F252" s="180"/>
      <c r="G252" s="180"/>
      <c r="H252" s="180"/>
      <c r="I252" s="180"/>
      <c r="J252" s="180"/>
      <c r="K252" s="180"/>
      <c r="L252" s="180"/>
      <c r="M252" s="180"/>
      <c r="N252" s="180"/>
      <c r="O252" s="180"/>
      <c r="P252" s="180"/>
      <c r="Q252" s="180"/>
      <c r="R252" s="180"/>
      <c r="S252" s="180"/>
      <c r="T252" s="180"/>
      <c r="U252" s="180"/>
      <c r="V252" s="180"/>
      <c r="W252" s="180"/>
      <c r="X252" s="180"/>
      <c r="Y252" s="180"/>
      <c r="Z252" s="180"/>
      <c r="AA252" s="180"/>
      <c r="AB252" s="180"/>
      <c r="AC252" s="180"/>
      <c r="AD252" s="180"/>
      <c r="AE252" s="180"/>
      <c r="AF252" s="180"/>
      <c r="AG252" s="180"/>
      <c r="AH252" s="180"/>
      <c r="AI252" s="180"/>
      <c r="AJ252" s="180"/>
      <c r="AK252" s="180"/>
      <c r="AL252" s="180"/>
      <c r="AM252" s="180"/>
      <c r="AN252" s="180"/>
      <c r="AO252" s="180"/>
      <c r="AP252" s="180"/>
    </row>
    <row r="253" spans="1:42" ht="13.5" x14ac:dyDescent="0.25">
      <c r="A253" s="195" t="s">
        <v>386</v>
      </c>
      <c r="B253" s="180"/>
      <c r="C253" s="180"/>
      <c r="D253" s="180"/>
      <c r="E253" s="180"/>
      <c r="F253" s="180"/>
      <c r="G253" s="180"/>
      <c r="H253" s="180"/>
      <c r="I253" s="180"/>
      <c r="J253" s="180"/>
      <c r="K253" s="180"/>
      <c r="L253" s="180"/>
      <c r="M253" s="180"/>
      <c r="N253" s="180"/>
      <c r="O253" s="180"/>
      <c r="P253" s="180"/>
      <c r="Q253" s="180"/>
      <c r="R253" s="180"/>
      <c r="S253" s="180"/>
      <c r="T253" s="180"/>
      <c r="U253" s="180"/>
      <c r="V253" s="180"/>
      <c r="W253" s="180"/>
      <c r="X253" s="180"/>
      <c r="Y253" s="180"/>
      <c r="Z253" s="180"/>
      <c r="AA253" s="180"/>
      <c r="AB253" s="180"/>
      <c r="AC253" s="180"/>
      <c r="AD253" s="180"/>
      <c r="AE253" s="180"/>
      <c r="AF253" s="180"/>
      <c r="AG253" s="180"/>
      <c r="AH253" s="180"/>
      <c r="AI253" s="180"/>
      <c r="AJ253" s="180"/>
      <c r="AK253" s="180"/>
      <c r="AL253" s="180"/>
      <c r="AM253" s="180"/>
      <c r="AN253" s="180"/>
      <c r="AO253" s="180"/>
      <c r="AP253" s="180"/>
    </row>
    <row r="254" spans="1:42" ht="13.5" x14ac:dyDescent="0.25">
      <c r="A254" s="195" t="s">
        <v>387</v>
      </c>
      <c r="B254" s="180"/>
      <c r="C254" s="180"/>
      <c r="D254" s="180"/>
      <c r="E254" s="180"/>
      <c r="F254" s="180"/>
      <c r="G254" s="180"/>
      <c r="H254" s="180"/>
      <c r="I254" s="180"/>
      <c r="J254" s="180"/>
      <c r="K254" s="180"/>
      <c r="L254" s="180"/>
      <c r="M254" s="180"/>
      <c r="N254" s="180"/>
      <c r="O254" s="180"/>
      <c r="P254" s="180"/>
      <c r="Q254" s="180"/>
      <c r="R254" s="180"/>
      <c r="S254" s="180"/>
      <c r="T254" s="180"/>
      <c r="U254" s="180"/>
      <c r="V254" s="180"/>
      <c r="W254" s="180"/>
      <c r="X254" s="180"/>
      <c r="Y254" s="180"/>
      <c r="Z254" s="180"/>
      <c r="AA254" s="180"/>
      <c r="AB254" s="180"/>
      <c r="AC254" s="180"/>
      <c r="AD254" s="180"/>
      <c r="AE254" s="180"/>
      <c r="AF254" s="180"/>
      <c r="AG254" s="180"/>
      <c r="AH254" s="180"/>
      <c r="AI254" s="180"/>
      <c r="AJ254" s="180"/>
      <c r="AK254" s="180"/>
      <c r="AL254" s="180"/>
      <c r="AM254" s="180"/>
      <c r="AN254" s="180"/>
      <c r="AO254" s="180"/>
      <c r="AP254" s="180"/>
    </row>
    <row r="255" spans="1:42" ht="13.5" x14ac:dyDescent="0.25">
      <c r="A255" s="196" t="s">
        <v>36</v>
      </c>
      <c r="B255" s="209" t="e">
        <f t="array" ref="B255">SUM(IF('[5]2013-2016 Projects'!$O$4:$O$202="New-320",'[5]2013-2016 Projects'!$V$4:$V$202,0))</f>
        <v>#REF!</v>
      </c>
      <c r="C255" s="209" t="e">
        <f t="array" ref="C255">SUM(IF('[5]2013-2016 Projects'!$O$4:$O$202="New-320",'[5]2013-2016 Projects'!$V$4:$V$202,0))</f>
        <v>#REF!</v>
      </c>
      <c r="D255" s="209" t="e">
        <f t="array" ref="D255">SUM(IF('[5]2013-2016 Projects'!$O$4:$O$202="New-320",'[5]2013-2016 Projects'!$V$4:$V$202,0))</f>
        <v>#REF!</v>
      </c>
      <c r="E255" s="209" t="e">
        <f t="array" ref="E255">SUM(IF('[5]2013-2016 Projects'!$O$4:$O$202="New-320",'[5]2013-2016 Projects'!$V$4:$V$202,0))</f>
        <v>#REF!</v>
      </c>
      <c r="F255" s="209" t="e">
        <f t="array" ref="F255">SUM(IF('[5]2013-2016 Projects'!$O$4:$O$202="New-320",'[5]2013-2016 Projects'!$V$4:$V$202,0))</f>
        <v>#REF!</v>
      </c>
      <c r="G255" s="209"/>
      <c r="H255" s="179">
        <f t="array" ref="H255">SUM(IF('2014-2017 Projects'!$T$5:$T$258="New-320",'2014-2017 Projects'!$AK$5:$AK$258,0))</f>
        <v>5000000</v>
      </c>
      <c r="I255" s="179"/>
      <c r="J255" s="179"/>
      <c r="K255" s="179"/>
      <c r="L255" s="179"/>
      <c r="M255" s="179"/>
      <c r="N255" s="179"/>
      <c r="O255" s="179"/>
      <c r="P255" s="179"/>
      <c r="Q255" s="179"/>
      <c r="R255" s="179"/>
      <c r="S255" s="179"/>
      <c r="T255" s="179"/>
      <c r="U255" s="179"/>
      <c r="V255" s="179"/>
      <c r="W255" s="179"/>
      <c r="X255" s="179"/>
      <c r="Y255" s="179"/>
      <c r="Z255" s="179"/>
      <c r="AA255" s="179"/>
      <c r="AB255" s="179"/>
      <c r="AC255" s="179"/>
      <c r="AD255" s="179"/>
      <c r="AE255" s="179"/>
      <c r="AF255" s="179"/>
      <c r="AG255" s="179"/>
      <c r="AH255" s="179"/>
      <c r="AI255" s="179"/>
      <c r="AJ255" s="179"/>
      <c r="AK255" s="179"/>
      <c r="AL255" s="179"/>
      <c r="AM255" s="179"/>
      <c r="AN255" s="179"/>
      <c r="AO255" s="179">
        <f t="array" ref="AO255">SUM(IF('2014-2017 Projects'!$T$5:$T$258="New-320",'2014-2017 Projects'!$CG$5:$CG$258,0))</f>
        <v>16878000</v>
      </c>
      <c r="AP255" s="179">
        <f t="array" ref="AP255">SUM(IF('2014-2017 Projects'!$T$5:$T$258="New-320",'2014-2017 Projects'!$CH$5:$CH$258,0))</f>
        <v>17744000</v>
      </c>
    </row>
    <row r="256" spans="1:42" ht="13.5" x14ac:dyDescent="0.25">
      <c r="A256" s="208"/>
      <c r="B256" s="175"/>
      <c r="C256" s="175"/>
      <c r="D256" s="175"/>
      <c r="E256" s="175"/>
      <c r="F256" s="175"/>
      <c r="G256" s="175"/>
      <c r="H256" s="175"/>
      <c r="I256" s="175"/>
      <c r="J256" s="175"/>
      <c r="K256" s="175"/>
      <c r="L256" s="175"/>
      <c r="M256" s="175"/>
      <c r="N256" s="175"/>
      <c r="O256" s="175"/>
      <c r="P256" s="175"/>
      <c r="Q256" s="175"/>
      <c r="R256" s="175"/>
      <c r="S256" s="175"/>
      <c r="T256" s="175"/>
      <c r="U256" s="175"/>
      <c r="V256" s="175"/>
      <c r="W256" s="175"/>
      <c r="X256" s="175"/>
      <c r="Y256" s="175"/>
      <c r="Z256" s="175"/>
      <c r="AA256" s="175"/>
      <c r="AB256" s="175"/>
      <c r="AC256" s="175"/>
      <c r="AD256" s="175"/>
      <c r="AE256" s="175"/>
      <c r="AF256" s="175"/>
      <c r="AG256" s="175"/>
      <c r="AH256" s="175"/>
      <c r="AI256" s="175"/>
      <c r="AJ256" s="175"/>
      <c r="AK256" s="175"/>
      <c r="AL256" s="175"/>
      <c r="AM256" s="175"/>
      <c r="AN256" s="175"/>
      <c r="AO256" s="175"/>
      <c r="AP256" s="175"/>
    </row>
    <row r="257" spans="1:42" ht="13.5" x14ac:dyDescent="0.25">
      <c r="A257" s="203" t="s">
        <v>388</v>
      </c>
      <c r="B257" s="175">
        <f>SUM(B258:B259)</f>
        <v>0</v>
      </c>
      <c r="C257" s="175">
        <f>SUM(C258:C259)</f>
        <v>0</v>
      </c>
      <c r="D257" s="175">
        <f>SUM(D258:D259)</f>
        <v>0</v>
      </c>
      <c r="E257" s="175">
        <f>SUM(E258:E259)</f>
        <v>0</v>
      </c>
      <c r="F257" s="175">
        <f>SUM(F258:F259)</f>
        <v>0</v>
      </c>
      <c r="G257" s="175"/>
      <c r="H257" s="175">
        <f>SUM(H258:H259)</f>
        <v>0</v>
      </c>
      <c r="I257" s="175"/>
      <c r="J257" s="175"/>
      <c r="K257" s="175"/>
      <c r="L257" s="175"/>
      <c r="M257" s="175"/>
      <c r="N257" s="175"/>
      <c r="O257" s="175"/>
      <c r="P257" s="175"/>
      <c r="Q257" s="175"/>
      <c r="R257" s="175"/>
      <c r="S257" s="175"/>
      <c r="T257" s="175"/>
      <c r="U257" s="175"/>
      <c r="V257" s="175"/>
      <c r="W257" s="175"/>
      <c r="X257" s="175"/>
      <c r="Y257" s="175"/>
      <c r="Z257" s="175"/>
      <c r="AA257" s="175"/>
      <c r="AB257" s="175"/>
      <c r="AC257" s="175"/>
      <c r="AD257" s="175"/>
      <c r="AE257" s="175"/>
      <c r="AF257" s="175"/>
      <c r="AG257" s="175"/>
      <c r="AH257" s="175"/>
      <c r="AI257" s="175"/>
      <c r="AJ257" s="175"/>
      <c r="AK257" s="175"/>
      <c r="AL257" s="175"/>
      <c r="AM257" s="175"/>
      <c r="AN257" s="175"/>
      <c r="AO257" s="175">
        <f>SUM(AO258:AO259)</f>
        <v>0</v>
      </c>
      <c r="AP257" s="175">
        <f>SUM(AP258:AP259)</f>
        <v>0</v>
      </c>
    </row>
    <row r="258" spans="1:42" ht="13.5" x14ac:dyDescent="0.25">
      <c r="A258" s="214" t="s">
        <v>389</v>
      </c>
      <c r="B258" s="215"/>
      <c r="C258" s="215"/>
      <c r="D258" s="215"/>
      <c r="E258" s="215"/>
      <c r="F258" s="215"/>
      <c r="G258" s="215"/>
      <c r="H258" s="215"/>
      <c r="I258" s="215"/>
      <c r="J258" s="215"/>
      <c r="K258" s="215"/>
      <c r="L258" s="215"/>
      <c r="M258" s="215"/>
      <c r="N258" s="215"/>
      <c r="O258" s="215"/>
      <c r="P258" s="215"/>
      <c r="Q258" s="215"/>
      <c r="R258" s="215"/>
      <c r="S258" s="215"/>
      <c r="T258" s="215"/>
      <c r="U258" s="215"/>
      <c r="V258" s="215"/>
      <c r="W258" s="215"/>
      <c r="X258" s="215"/>
      <c r="Y258" s="215"/>
      <c r="Z258" s="215"/>
      <c r="AA258" s="215"/>
      <c r="AB258" s="215"/>
      <c r="AC258" s="215"/>
      <c r="AD258" s="215"/>
      <c r="AE258" s="215"/>
      <c r="AF258" s="215"/>
      <c r="AG258" s="215"/>
      <c r="AH258" s="215"/>
      <c r="AI258" s="215"/>
      <c r="AJ258" s="215"/>
      <c r="AK258" s="215"/>
      <c r="AL258" s="215"/>
      <c r="AM258" s="215"/>
      <c r="AN258" s="215"/>
      <c r="AO258" s="215"/>
      <c r="AP258" s="215"/>
    </row>
    <row r="259" spans="1:42" ht="13.5" x14ac:dyDescent="0.25">
      <c r="A259" s="214"/>
      <c r="B259" s="213"/>
      <c r="C259" s="213"/>
      <c r="D259" s="213"/>
      <c r="E259" s="213"/>
      <c r="F259" s="213"/>
      <c r="G259" s="213"/>
      <c r="H259" s="213"/>
      <c r="I259" s="213"/>
      <c r="J259" s="213"/>
      <c r="K259" s="213"/>
      <c r="L259" s="213"/>
      <c r="M259" s="213"/>
      <c r="N259" s="213"/>
      <c r="O259" s="213"/>
      <c r="P259" s="213"/>
      <c r="Q259" s="213"/>
      <c r="R259" s="213"/>
      <c r="S259" s="213"/>
      <c r="T259" s="213"/>
      <c r="U259" s="213"/>
      <c r="V259" s="213"/>
      <c r="W259" s="213"/>
      <c r="X259" s="213"/>
      <c r="Y259" s="213"/>
      <c r="Z259" s="213"/>
      <c r="AA259" s="213"/>
      <c r="AB259" s="213"/>
      <c r="AC259" s="213"/>
      <c r="AD259" s="213"/>
      <c r="AE259" s="213"/>
      <c r="AF259" s="213"/>
      <c r="AG259" s="213"/>
      <c r="AH259" s="213"/>
      <c r="AI259" s="213"/>
      <c r="AJ259" s="213"/>
      <c r="AK259" s="213"/>
      <c r="AL259" s="213"/>
      <c r="AM259" s="213"/>
      <c r="AN259" s="213"/>
      <c r="AO259" s="213"/>
      <c r="AP259" s="213"/>
    </row>
    <row r="260" spans="1:42" ht="13.5" x14ac:dyDescent="0.25">
      <c r="A260" s="208"/>
      <c r="B260" s="175"/>
      <c r="C260" s="175"/>
      <c r="D260" s="175"/>
      <c r="E260" s="175"/>
      <c r="F260" s="175"/>
      <c r="G260" s="175"/>
      <c r="H260" s="175"/>
      <c r="I260" s="175"/>
      <c r="J260" s="175"/>
      <c r="K260" s="175"/>
      <c r="L260" s="175"/>
      <c r="M260" s="175"/>
      <c r="N260" s="175"/>
      <c r="O260" s="175"/>
      <c r="P260" s="175"/>
      <c r="Q260" s="175"/>
      <c r="R260" s="175"/>
      <c r="S260" s="175"/>
      <c r="T260" s="175"/>
      <c r="U260" s="175"/>
      <c r="V260" s="175"/>
      <c r="W260" s="175"/>
      <c r="X260" s="175"/>
      <c r="Y260" s="175"/>
      <c r="Z260" s="175"/>
      <c r="AA260" s="175"/>
      <c r="AB260" s="175"/>
      <c r="AC260" s="175"/>
      <c r="AD260" s="175"/>
      <c r="AE260" s="175"/>
      <c r="AF260" s="175"/>
      <c r="AG260" s="175"/>
      <c r="AH260" s="175"/>
      <c r="AI260" s="175"/>
      <c r="AJ260" s="175"/>
      <c r="AK260" s="175"/>
      <c r="AL260" s="175"/>
      <c r="AM260" s="175"/>
      <c r="AN260" s="175"/>
      <c r="AO260" s="175"/>
      <c r="AP260" s="175"/>
    </row>
    <row r="261" spans="1:42" ht="13.5" x14ac:dyDescent="0.25">
      <c r="A261" s="203" t="s">
        <v>344</v>
      </c>
      <c r="B261" s="175">
        <f>SUM(B262:B263)</f>
        <v>0</v>
      </c>
      <c r="C261" s="175">
        <f>SUM(C262:C263)</f>
        <v>0</v>
      </c>
      <c r="D261" s="175">
        <f>SUM(D262:D263)</f>
        <v>0</v>
      </c>
      <c r="E261" s="175">
        <f>SUM(E262:E263)</f>
        <v>0</v>
      </c>
      <c r="F261" s="175">
        <f>SUM(F262:F263)</f>
        <v>0</v>
      </c>
      <c r="G261" s="175"/>
      <c r="H261" s="175">
        <f>SUM(H262:H263)</f>
        <v>0</v>
      </c>
      <c r="I261" s="175"/>
      <c r="J261" s="175"/>
      <c r="K261" s="175"/>
      <c r="L261" s="175"/>
      <c r="M261" s="175"/>
      <c r="N261" s="175"/>
      <c r="O261" s="175"/>
      <c r="P261" s="175"/>
      <c r="Q261" s="175"/>
      <c r="R261" s="175"/>
      <c r="S261" s="175"/>
      <c r="T261" s="175"/>
      <c r="U261" s="175"/>
      <c r="V261" s="175"/>
      <c r="W261" s="175"/>
      <c r="X261" s="175"/>
      <c r="Y261" s="175"/>
      <c r="Z261" s="175"/>
      <c r="AA261" s="175"/>
      <c r="AB261" s="175"/>
      <c r="AC261" s="175"/>
      <c r="AD261" s="175"/>
      <c r="AE261" s="175"/>
      <c r="AF261" s="175"/>
      <c r="AG261" s="175"/>
      <c r="AH261" s="175"/>
      <c r="AI261" s="175"/>
      <c r="AJ261" s="175"/>
      <c r="AK261" s="175"/>
      <c r="AL261" s="175"/>
      <c r="AM261" s="175"/>
      <c r="AN261" s="175"/>
      <c r="AO261" s="175">
        <f>SUM(AO262:AO263)</f>
        <v>0</v>
      </c>
      <c r="AP261" s="175">
        <f>SUM(AP262:AP263)</f>
        <v>0</v>
      </c>
    </row>
    <row r="262" spans="1:42" ht="13.5" x14ac:dyDescent="0.25">
      <c r="A262" s="214" t="s">
        <v>389</v>
      </c>
      <c r="B262" s="215"/>
      <c r="C262" s="215"/>
      <c r="D262" s="215"/>
      <c r="E262" s="215"/>
      <c r="F262" s="215"/>
      <c r="G262" s="215"/>
      <c r="H262" s="215"/>
      <c r="I262" s="215"/>
      <c r="J262" s="215"/>
      <c r="K262" s="215"/>
      <c r="L262" s="215"/>
      <c r="M262" s="215"/>
      <c r="N262" s="215"/>
      <c r="O262" s="215"/>
      <c r="P262" s="215"/>
      <c r="Q262" s="215"/>
      <c r="R262" s="215"/>
      <c r="S262" s="215"/>
      <c r="T262" s="215"/>
      <c r="U262" s="215"/>
      <c r="V262" s="215"/>
      <c r="W262" s="215"/>
      <c r="X262" s="215"/>
      <c r="Y262" s="215"/>
      <c r="Z262" s="215"/>
      <c r="AA262" s="215"/>
      <c r="AB262" s="215"/>
      <c r="AC262" s="215"/>
      <c r="AD262" s="215"/>
      <c r="AE262" s="215"/>
      <c r="AF262" s="215"/>
      <c r="AG262" s="215"/>
      <c r="AH262" s="215"/>
      <c r="AI262" s="215"/>
      <c r="AJ262" s="215"/>
      <c r="AK262" s="215"/>
      <c r="AL262" s="215"/>
      <c r="AM262" s="215"/>
      <c r="AN262" s="215"/>
      <c r="AO262" s="215"/>
      <c r="AP262" s="215"/>
    </row>
    <row r="263" spans="1:42" ht="13.5" x14ac:dyDescent="0.25">
      <c r="A263" s="214"/>
      <c r="B263" s="213"/>
      <c r="C263" s="213"/>
      <c r="D263" s="213"/>
      <c r="E263" s="213"/>
      <c r="F263" s="213"/>
      <c r="G263" s="213"/>
      <c r="H263" s="213"/>
      <c r="I263" s="213"/>
      <c r="J263" s="213"/>
      <c r="K263" s="213"/>
      <c r="L263" s="213"/>
      <c r="M263" s="213"/>
      <c r="N263" s="213"/>
      <c r="O263" s="213"/>
      <c r="P263" s="213"/>
      <c r="Q263" s="213"/>
      <c r="R263" s="213"/>
      <c r="S263" s="213"/>
      <c r="T263" s="213"/>
      <c r="U263" s="213"/>
      <c r="V263" s="213"/>
      <c r="W263" s="213"/>
      <c r="X263" s="213"/>
      <c r="Y263" s="213"/>
      <c r="Z263" s="213"/>
      <c r="AA263" s="213"/>
      <c r="AB263" s="213"/>
      <c r="AC263" s="213"/>
      <c r="AD263" s="213"/>
      <c r="AE263" s="213"/>
      <c r="AF263" s="213"/>
      <c r="AG263" s="213"/>
      <c r="AH263" s="213"/>
      <c r="AI263" s="213"/>
      <c r="AJ263" s="213"/>
      <c r="AK263" s="213"/>
      <c r="AL263" s="213"/>
      <c r="AM263" s="213"/>
      <c r="AN263" s="213"/>
      <c r="AO263" s="213"/>
      <c r="AP263" s="213"/>
    </row>
    <row r="264" spans="1:42" ht="13.5" x14ac:dyDescent="0.25">
      <c r="A264" s="208"/>
      <c r="B264" s="175"/>
      <c r="C264" s="175"/>
      <c r="D264" s="175"/>
      <c r="E264" s="175"/>
      <c r="F264" s="175"/>
      <c r="G264" s="175"/>
      <c r="H264" s="175"/>
      <c r="I264" s="175"/>
      <c r="J264" s="175"/>
      <c r="K264" s="175"/>
      <c r="L264" s="175"/>
      <c r="M264" s="175"/>
      <c r="N264" s="175"/>
      <c r="O264" s="175"/>
      <c r="P264" s="175"/>
      <c r="Q264" s="175"/>
      <c r="R264" s="175"/>
      <c r="S264" s="175"/>
      <c r="T264" s="175"/>
      <c r="U264" s="175"/>
      <c r="V264" s="175"/>
      <c r="W264" s="175"/>
      <c r="X264" s="175"/>
      <c r="Y264" s="175"/>
      <c r="Z264" s="175"/>
      <c r="AA264" s="175"/>
      <c r="AB264" s="175"/>
      <c r="AC264" s="175"/>
      <c r="AD264" s="175"/>
      <c r="AE264" s="175"/>
      <c r="AF264" s="175"/>
      <c r="AG264" s="175"/>
      <c r="AH264" s="175"/>
      <c r="AI264" s="175"/>
      <c r="AJ264" s="175"/>
      <c r="AK264" s="175"/>
      <c r="AL264" s="175"/>
      <c r="AM264" s="175"/>
      <c r="AN264" s="175"/>
      <c r="AO264" s="175"/>
      <c r="AP264" s="175"/>
    </row>
    <row r="265" spans="1:42" ht="13.5" x14ac:dyDescent="0.25">
      <c r="A265" s="203" t="s">
        <v>345</v>
      </c>
      <c r="B265" s="175">
        <f>SUM(B266:B267)</f>
        <v>0</v>
      </c>
      <c r="C265" s="175">
        <f>SUM(C266:C267)</f>
        <v>0</v>
      </c>
      <c r="D265" s="175">
        <f>SUM(D266:D267)</f>
        <v>0</v>
      </c>
      <c r="E265" s="175">
        <f>SUM(E266:E267)</f>
        <v>0</v>
      </c>
      <c r="F265" s="175">
        <f>SUM(F266:F267)</f>
        <v>0</v>
      </c>
      <c r="G265" s="175"/>
      <c r="H265" s="175">
        <f>SUM(H266:H267)</f>
        <v>0</v>
      </c>
      <c r="I265" s="175"/>
      <c r="J265" s="175"/>
      <c r="K265" s="175"/>
      <c r="L265" s="175"/>
      <c r="M265" s="175"/>
      <c r="N265" s="175"/>
      <c r="O265" s="175"/>
      <c r="P265" s="175"/>
      <c r="Q265" s="175"/>
      <c r="R265" s="175"/>
      <c r="S265" s="175"/>
      <c r="T265" s="175"/>
      <c r="U265" s="175"/>
      <c r="V265" s="175"/>
      <c r="W265" s="175"/>
      <c r="X265" s="175"/>
      <c r="Y265" s="175"/>
      <c r="Z265" s="175"/>
      <c r="AA265" s="175"/>
      <c r="AB265" s="175"/>
      <c r="AC265" s="175"/>
      <c r="AD265" s="175"/>
      <c r="AE265" s="175"/>
      <c r="AF265" s="175"/>
      <c r="AG265" s="175"/>
      <c r="AH265" s="175"/>
      <c r="AI265" s="175"/>
      <c r="AJ265" s="175"/>
      <c r="AK265" s="175"/>
      <c r="AL265" s="175"/>
      <c r="AM265" s="175"/>
      <c r="AN265" s="175"/>
      <c r="AO265" s="175">
        <f>SUM(AO266:AO267)</f>
        <v>0</v>
      </c>
      <c r="AP265" s="175">
        <f>SUM(AP266:AP267)</f>
        <v>0</v>
      </c>
    </row>
    <row r="266" spans="1:42" ht="13.5" x14ac:dyDescent="0.25">
      <c r="A266" s="195" t="s">
        <v>390</v>
      </c>
      <c r="B266" s="215"/>
      <c r="C266" s="215"/>
      <c r="D266" s="215"/>
      <c r="E266" s="215"/>
      <c r="F266" s="215"/>
      <c r="G266" s="215"/>
      <c r="H266" s="215"/>
      <c r="I266" s="215"/>
      <c r="J266" s="215"/>
      <c r="K266" s="215"/>
      <c r="L266" s="215"/>
      <c r="M266" s="215"/>
      <c r="N266" s="215"/>
      <c r="O266" s="215"/>
      <c r="P266" s="215"/>
      <c r="Q266" s="215"/>
      <c r="R266" s="215"/>
      <c r="S266" s="215"/>
      <c r="T266" s="215"/>
      <c r="U266" s="215"/>
      <c r="V266" s="215"/>
      <c r="W266" s="215"/>
      <c r="X266" s="215"/>
      <c r="Y266" s="215"/>
      <c r="Z266" s="215"/>
      <c r="AA266" s="215"/>
      <c r="AB266" s="215"/>
      <c r="AC266" s="215"/>
      <c r="AD266" s="215"/>
      <c r="AE266" s="215"/>
      <c r="AF266" s="215"/>
      <c r="AG266" s="215"/>
      <c r="AH266" s="215"/>
      <c r="AI266" s="215"/>
      <c r="AJ266" s="215"/>
      <c r="AK266" s="215"/>
      <c r="AL266" s="215"/>
      <c r="AM266" s="215"/>
      <c r="AN266" s="215"/>
      <c r="AO266" s="215"/>
      <c r="AP266" s="215"/>
    </row>
    <row r="267" spans="1:42" ht="13.5" x14ac:dyDescent="0.25">
      <c r="A267" s="214" t="s">
        <v>391</v>
      </c>
      <c r="B267" s="213"/>
      <c r="C267" s="213"/>
      <c r="D267" s="213"/>
      <c r="E267" s="213"/>
      <c r="F267" s="213"/>
      <c r="G267" s="213"/>
      <c r="H267" s="213"/>
      <c r="I267" s="213"/>
      <c r="J267" s="213"/>
      <c r="K267" s="213"/>
      <c r="L267" s="213"/>
      <c r="M267" s="213"/>
      <c r="N267" s="213"/>
      <c r="O267" s="213"/>
      <c r="P267" s="213"/>
      <c r="Q267" s="213"/>
      <c r="R267" s="213"/>
      <c r="S267" s="213"/>
      <c r="T267" s="213"/>
      <c r="U267" s="213"/>
      <c r="V267" s="213"/>
      <c r="W267" s="213"/>
      <c r="X267" s="213"/>
      <c r="Y267" s="213"/>
      <c r="Z267" s="213"/>
      <c r="AA267" s="213"/>
      <c r="AB267" s="213"/>
      <c r="AC267" s="213"/>
      <c r="AD267" s="213"/>
      <c r="AE267" s="213"/>
      <c r="AF267" s="213"/>
      <c r="AG267" s="213"/>
      <c r="AH267" s="213"/>
      <c r="AI267" s="213"/>
      <c r="AJ267" s="213"/>
      <c r="AK267" s="213"/>
      <c r="AL267" s="213"/>
      <c r="AM267" s="213"/>
      <c r="AN267" s="213"/>
      <c r="AO267" s="213"/>
      <c r="AP267" s="213"/>
    </row>
    <row r="268" spans="1:42" ht="13.5" x14ac:dyDescent="0.25">
      <c r="A268" s="208"/>
      <c r="B268" s="184"/>
      <c r="C268" s="184"/>
      <c r="D268" s="184"/>
      <c r="E268" s="184"/>
      <c r="F268" s="184"/>
      <c r="G268" s="184"/>
      <c r="H268" s="184"/>
      <c r="I268" s="184"/>
      <c r="J268" s="184"/>
      <c r="K268" s="184"/>
      <c r="L268" s="184"/>
      <c r="M268" s="184"/>
      <c r="N268" s="184"/>
      <c r="O268" s="184"/>
      <c r="P268" s="184"/>
      <c r="Q268" s="184"/>
      <c r="R268" s="184"/>
      <c r="S268" s="184"/>
      <c r="T268" s="184"/>
      <c r="U268" s="184"/>
      <c r="V268" s="184"/>
      <c r="W268" s="184"/>
      <c r="X268" s="184"/>
      <c r="Y268" s="184"/>
      <c r="Z268" s="184"/>
      <c r="AA268" s="184"/>
      <c r="AB268" s="184"/>
      <c r="AC268" s="184"/>
      <c r="AD268" s="184"/>
      <c r="AE268" s="184"/>
      <c r="AF268" s="184"/>
      <c r="AG268" s="184"/>
      <c r="AH268" s="184"/>
      <c r="AI268" s="184"/>
      <c r="AJ268" s="184"/>
      <c r="AK268" s="184"/>
      <c r="AL268" s="184"/>
      <c r="AM268" s="184"/>
      <c r="AN268" s="184"/>
      <c r="AO268" s="184"/>
      <c r="AP268" s="184"/>
    </row>
    <row r="269" spans="1:42" ht="13.5" x14ac:dyDescent="0.25">
      <c r="A269" s="216" t="s">
        <v>392</v>
      </c>
      <c r="B269" s="193" t="e">
        <f>B198+B219+B235+B239+B243+B265+B257+B261</f>
        <v>#REF!</v>
      </c>
      <c r="C269" s="193" t="e">
        <f>C198+C219+C235+C239+C243+C265+C257+C261</f>
        <v>#REF!</v>
      </c>
      <c r="D269" s="193" t="e">
        <f>D198+D219+D235+D239+D243+D265+D257+D261</f>
        <v>#REF!</v>
      </c>
      <c r="E269" s="193" t="e">
        <f>E198+E219+E235+E239+E243+E265+E257+E261</f>
        <v>#REF!</v>
      </c>
      <c r="F269" s="193" t="e">
        <f>F198+F219+F235+F239+F243+F265+F257+F261</f>
        <v>#REF!</v>
      </c>
      <c r="G269" s="193"/>
      <c r="H269" s="193">
        <f>H198+H219+H235+H239+H243+H265+H257+H261</f>
        <v>396686108</v>
      </c>
      <c r="I269" s="193"/>
      <c r="J269" s="193"/>
      <c r="K269" s="193"/>
      <c r="L269" s="193"/>
      <c r="M269" s="193"/>
      <c r="N269" s="193"/>
      <c r="O269" s="193"/>
      <c r="P269" s="193"/>
      <c r="Q269" s="193"/>
      <c r="R269" s="193"/>
      <c r="S269" s="193"/>
      <c r="T269" s="193"/>
      <c r="U269" s="193"/>
      <c r="V269" s="193"/>
      <c r="W269" s="193"/>
      <c r="X269" s="193"/>
      <c r="Y269" s="193"/>
      <c r="Z269" s="193"/>
      <c r="AA269" s="193"/>
      <c r="AB269" s="193"/>
      <c r="AC269" s="193"/>
      <c r="AD269" s="193"/>
      <c r="AE269" s="193"/>
      <c r="AF269" s="193"/>
      <c r="AG269" s="193"/>
      <c r="AH269" s="193"/>
      <c r="AI269" s="193"/>
      <c r="AJ269" s="193"/>
      <c r="AK269" s="193"/>
      <c r="AL269" s="193"/>
      <c r="AM269" s="193"/>
      <c r="AN269" s="193"/>
      <c r="AO269" s="193">
        <f>AO198+AO219+AO235+AO239+AO243+AO265+AO257+AO261</f>
        <v>834656600</v>
      </c>
      <c r="AP269" s="193">
        <f>AP198+AP219+AP235+AP239+AP243+AP265+AP257+AP261</f>
        <v>907821100</v>
      </c>
    </row>
    <row r="270" spans="1:42" ht="13.5" x14ac:dyDescent="0.25">
      <c r="A270" s="217"/>
      <c r="B270" s="185"/>
      <c r="C270" s="185"/>
      <c r="D270" s="185"/>
      <c r="E270" s="185"/>
      <c r="F270" s="185"/>
      <c r="G270" s="185"/>
      <c r="H270" s="185"/>
      <c r="I270" s="185"/>
      <c r="J270" s="185"/>
      <c r="K270" s="185"/>
      <c r="L270" s="185"/>
      <c r="M270" s="185"/>
      <c r="N270" s="185"/>
      <c r="O270" s="185"/>
      <c r="P270" s="185"/>
      <c r="Q270" s="185"/>
      <c r="R270" s="185"/>
      <c r="S270" s="185"/>
      <c r="T270" s="185"/>
      <c r="U270" s="185"/>
      <c r="V270" s="185"/>
      <c r="W270" s="185"/>
      <c r="X270" s="185"/>
      <c r="Y270" s="185"/>
      <c r="Z270" s="185"/>
      <c r="AA270" s="185"/>
      <c r="AB270" s="185"/>
      <c r="AC270" s="185"/>
      <c r="AD270" s="185"/>
      <c r="AE270" s="185"/>
      <c r="AF270" s="185"/>
      <c r="AG270" s="185"/>
      <c r="AH270" s="185"/>
      <c r="AI270" s="185"/>
      <c r="AJ270" s="185"/>
      <c r="AK270" s="185"/>
      <c r="AL270" s="185"/>
      <c r="AM270" s="185"/>
      <c r="AN270" s="185"/>
      <c r="AO270" s="185"/>
      <c r="AP270" s="185"/>
    </row>
    <row r="271" spans="1:42" ht="13.5" x14ac:dyDescent="0.25">
      <c r="A271" s="218" t="s">
        <v>378</v>
      </c>
      <c r="B271" s="301" t="e">
        <f>SUM(B272:B275)</f>
        <v>#REF!</v>
      </c>
      <c r="C271" s="301" t="e">
        <f>SUM(C272:C275)</f>
        <v>#REF!</v>
      </c>
      <c r="D271" s="301" t="e">
        <f>SUM(D272:D275)</f>
        <v>#REF!</v>
      </c>
      <c r="E271" s="301" t="e">
        <f>SUM(E272:E275)</f>
        <v>#REF!</v>
      </c>
      <c r="F271" s="301" t="e">
        <f>SUM(F272:F275)</f>
        <v>#REF!</v>
      </c>
      <c r="G271" s="219"/>
      <c r="H271" s="220">
        <f>SUM(H272:H275)</f>
        <v>4000000</v>
      </c>
      <c r="I271" s="220"/>
      <c r="J271" s="220"/>
      <c r="K271" s="220"/>
      <c r="L271" s="220"/>
      <c r="M271" s="220"/>
      <c r="N271" s="220"/>
      <c r="O271" s="220"/>
      <c r="P271" s="220"/>
      <c r="Q271" s="220"/>
      <c r="R271" s="220"/>
      <c r="S271" s="220"/>
      <c r="T271" s="220"/>
      <c r="U271" s="220"/>
      <c r="V271" s="220"/>
      <c r="W271" s="220"/>
      <c r="X271" s="220"/>
      <c r="Y271" s="220"/>
      <c r="Z271" s="220"/>
      <c r="AA271" s="220"/>
      <c r="AB271" s="220"/>
      <c r="AC271" s="220"/>
      <c r="AD271" s="220"/>
      <c r="AE271" s="220"/>
      <c r="AF271" s="220"/>
      <c r="AG271" s="220"/>
      <c r="AH271" s="220"/>
      <c r="AI271" s="220"/>
      <c r="AJ271" s="220"/>
      <c r="AK271" s="220"/>
      <c r="AL271" s="220"/>
      <c r="AM271" s="220"/>
      <c r="AN271" s="220"/>
      <c r="AO271" s="220">
        <f>SUM(AO272:AO275)</f>
        <v>4000000</v>
      </c>
      <c r="AP271" s="220">
        <f>SUM(AP272:AP275)</f>
        <v>4000000</v>
      </c>
    </row>
    <row r="272" spans="1:42" ht="13.5" x14ac:dyDescent="0.25">
      <c r="A272" s="198" t="s">
        <v>6</v>
      </c>
      <c r="B272" s="209" t="e">
        <f t="array" ref="B272">SUM(IF('[5]2013-2016 Projects'!$O$4:$O$202="New-350",'[5]2013-2016 Projects'!$V$4:$V$202,0))</f>
        <v>#REF!</v>
      </c>
      <c r="C272" s="209" t="e">
        <f t="array" ref="C272">SUM(IF('[5]2013-2016 Projects'!$O$4:$O$202="New-350",'[5]2013-2016 Projects'!$V$4:$V$202,0))</f>
        <v>#REF!</v>
      </c>
      <c r="D272" s="209" t="e">
        <f t="array" ref="D272">SUM(IF('[5]2013-2016 Projects'!$O$4:$O$202="New-350",'[5]2013-2016 Projects'!$V$4:$V$202,0))</f>
        <v>#REF!</v>
      </c>
      <c r="E272" s="209" t="e">
        <f t="array" ref="E272">SUM(IF('[5]2013-2016 Projects'!$O$4:$O$202="New-350",'[5]2013-2016 Projects'!$V$4:$V$202,0))</f>
        <v>#REF!</v>
      </c>
      <c r="F272" s="209" t="e">
        <f t="array" ref="F272">SUM(IF('[5]2013-2016 Projects'!$O$4:$O$202="New-350",'[5]2013-2016 Projects'!$V$4:$V$202,0))</f>
        <v>#REF!</v>
      </c>
      <c r="G272" s="179"/>
      <c r="H272" s="179">
        <f t="array" ref="H272">SUM(IF('2014-2017 Projects'!$T$5:$T$258="New-350",'2014-2017 Projects'!$AK$5:$AK$258,0))</f>
        <v>0</v>
      </c>
      <c r="I272" s="179"/>
      <c r="J272" s="179"/>
      <c r="K272" s="179"/>
      <c r="L272" s="179"/>
      <c r="M272" s="179"/>
      <c r="N272" s="179"/>
      <c r="O272" s="179"/>
      <c r="P272" s="179"/>
      <c r="Q272" s="179"/>
      <c r="R272" s="179"/>
      <c r="S272" s="179"/>
      <c r="T272" s="179"/>
      <c r="U272" s="179"/>
      <c r="V272" s="179"/>
      <c r="W272" s="179"/>
      <c r="X272" s="179"/>
      <c r="Y272" s="179"/>
      <c r="Z272" s="179"/>
      <c r="AA272" s="179"/>
      <c r="AB272" s="179"/>
      <c r="AC272" s="179"/>
      <c r="AD272" s="179"/>
      <c r="AE272" s="179"/>
      <c r="AF272" s="179"/>
      <c r="AG272" s="179"/>
      <c r="AH272" s="179"/>
      <c r="AI272" s="179"/>
      <c r="AJ272" s="179"/>
      <c r="AK272" s="179"/>
      <c r="AL272" s="179"/>
      <c r="AM272" s="179"/>
      <c r="AN272" s="179"/>
      <c r="AO272" s="179">
        <f t="array" ref="AO272">SUM(IF('2014-2017 Projects'!$T$5:$T$258="New-350",'2014-2017 Projects'!$CG$5:$CG$258,0))</f>
        <v>0</v>
      </c>
      <c r="AP272" s="179">
        <f t="array" ref="AP272">SUM(IF('2014-2017 Projects'!$T$5:$T$258="New-350",'2014-2017 Projects'!$CH$5:$CH$258,0))</f>
        <v>0</v>
      </c>
    </row>
    <row r="273" spans="1:42" ht="13.5" x14ac:dyDescent="0.25">
      <c r="A273" s="198" t="s">
        <v>393</v>
      </c>
      <c r="B273" s="209" t="e">
        <f t="array" ref="B273">SUM(IF('[5]2013-2016 Projects'!$O$4:$O$202="New-360",'[5]2013-2016 Projects'!$V$4:$V$202,0))</f>
        <v>#REF!</v>
      </c>
      <c r="C273" s="209" t="e">
        <f t="array" ref="C273">SUM(IF('[5]2013-2016 Projects'!$O$4:$O$202="New-360",'[5]2013-2016 Projects'!$V$4:$V$202,0))</f>
        <v>#REF!</v>
      </c>
      <c r="D273" s="209" t="e">
        <f t="array" ref="D273">SUM(IF('[5]2013-2016 Projects'!$O$4:$O$202="New-360",'[5]2013-2016 Projects'!$V$4:$V$202,0))</f>
        <v>#REF!</v>
      </c>
      <c r="E273" s="209" t="e">
        <f t="array" ref="E273">SUM(IF('[5]2013-2016 Projects'!$O$4:$O$202="New-360",'[5]2013-2016 Projects'!$V$4:$V$202,0))</f>
        <v>#REF!</v>
      </c>
      <c r="F273" s="209" t="e">
        <f t="array" ref="F273">SUM(IF('[5]2013-2016 Projects'!$O$4:$O$202="New-360",'[5]2013-2016 Projects'!$V$4:$V$202,0))</f>
        <v>#REF!</v>
      </c>
      <c r="G273" s="179"/>
      <c r="H273" s="179">
        <f t="array" ref="H273">SUM(IF('2014-2017 Projects'!$T$5:$T$258="New-360",'2014-2017 Projects'!$AK$5:$AK$258,0))</f>
        <v>4000000</v>
      </c>
      <c r="I273" s="179"/>
      <c r="J273" s="179"/>
      <c r="K273" s="179"/>
      <c r="L273" s="179"/>
      <c r="M273" s="179"/>
      <c r="N273" s="179"/>
      <c r="O273" s="179"/>
      <c r="P273" s="179"/>
      <c r="Q273" s="179"/>
      <c r="R273" s="179"/>
      <c r="S273" s="179"/>
      <c r="T273" s="179"/>
      <c r="U273" s="179"/>
      <c r="V273" s="179"/>
      <c r="W273" s="179"/>
      <c r="X273" s="179"/>
      <c r="Y273" s="179"/>
      <c r="Z273" s="179"/>
      <c r="AA273" s="179"/>
      <c r="AB273" s="179"/>
      <c r="AC273" s="179"/>
      <c r="AD273" s="179"/>
      <c r="AE273" s="179"/>
      <c r="AF273" s="179"/>
      <c r="AG273" s="179"/>
      <c r="AH273" s="179"/>
      <c r="AI273" s="179"/>
      <c r="AJ273" s="179"/>
      <c r="AK273" s="179"/>
      <c r="AL273" s="179"/>
      <c r="AM273" s="179"/>
      <c r="AN273" s="179"/>
      <c r="AO273" s="179">
        <f t="array" ref="AO273">SUM(IF('2014-2017 Projects'!$T$5:$T$258="New-360",'2014-2017 Projects'!$CG$5:$CG$258,0))</f>
        <v>4000000</v>
      </c>
      <c r="AP273" s="179">
        <f t="array" ref="AP273">SUM(IF('2014-2017 Projects'!$T$5:$T$258="New-360",'2014-2017 Projects'!$CH$5:$CH$258,0))</f>
        <v>4000000</v>
      </c>
    </row>
    <row r="274" spans="1:42" ht="13.5" x14ac:dyDescent="0.25">
      <c r="A274" s="198" t="s">
        <v>394</v>
      </c>
      <c r="B274" s="302"/>
      <c r="C274" s="302"/>
      <c r="D274" s="302"/>
      <c r="E274" s="302"/>
      <c r="F274" s="302"/>
      <c r="G274" s="221"/>
      <c r="H274" s="179">
        <f t="array" ref="H274">SUM(IF('2014-2017 Projects'!$T$5:$T$258="New-390",'2014-2017 Projects'!$AK$5:$AK$258,0))</f>
        <v>0</v>
      </c>
      <c r="I274" s="179"/>
      <c r="J274" s="179"/>
      <c r="K274" s="179"/>
      <c r="L274" s="179"/>
      <c r="M274" s="179"/>
      <c r="N274" s="179"/>
      <c r="O274" s="179"/>
      <c r="P274" s="179"/>
      <c r="Q274" s="179"/>
      <c r="R274" s="179"/>
      <c r="S274" s="179"/>
      <c r="T274" s="179"/>
      <c r="U274" s="179"/>
      <c r="V274" s="179"/>
      <c r="W274" s="179"/>
      <c r="X274" s="179"/>
      <c r="Y274" s="179"/>
      <c r="Z274" s="179"/>
      <c r="AA274" s="179"/>
      <c r="AB274" s="179"/>
      <c r="AC274" s="179"/>
      <c r="AD274" s="179"/>
      <c r="AE274" s="179"/>
      <c r="AF274" s="179"/>
      <c r="AG274" s="179"/>
      <c r="AH274" s="179"/>
      <c r="AI274" s="179"/>
      <c r="AJ274" s="179"/>
      <c r="AK274" s="179"/>
      <c r="AL274" s="179"/>
      <c r="AM274" s="179"/>
      <c r="AN274" s="179"/>
      <c r="AO274" s="179">
        <f t="array" ref="AO274">SUM(IF('2014-2017 Projects'!$T$5:$T$258="New-390",'2014-2017 Projects'!$CG$5:$CG$258,0))</f>
        <v>0</v>
      </c>
      <c r="AP274" s="179">
        <f t="array" ref="AP274">SUM(IF('2014-2017 Projects'!$T$5:$T$258="New-390",'2014-2017 Projects'!$CH$5:$CH$258,0))</f>
        <v>0</v>
      </c>
    </row>
    <row r="275" spans="1:42" ht="13.5" x14ac:dyDescent="0.25">
      <c r="A275" s="222" t="s">
        <v>395</v>
      </c>
      <c r="B275" s="303"/>
      <c r="C275" s="303"/>
      <c r="D275" s="303"/>
      <c r="E275" s="303"/>
      <c r="F275" s="303"/>
      <c r="G275" s="223"/>
      <c r="H275" s="224"/>
      <c r="I275" s="224"/>
      <c r="J275" s="224"/>
      <c r="K275" s="224"/>
      <c r="L275" s="224"/>
      <c r="M275" s="224"/>
      <c r="N275" s="224"/>
      <c r="O275" s="224"/>
      <c r="P275" s="224"/>
      <c r="Q275" s="224"/>
      <c r="R275" s="224"/>
      <c r="S275" s="224"/>
      <c r="T275" s="224"/>
      <c r="U275" s="224"/>
      <c r="V275" s="224"/>
      <c r="W275" s="224"/>
      <c r="X275" s="224"/>
      <c r="Y275" s="224"/>
      <c r="Z275" s="224"/>
      <c r="AA275" s="224"/>
      <c r="AB275" s="224"/>
      <c r="AC275" s="224"/>
      <c r="AD275" s="224"/>
      <c r="AE275" s="224"/>
      <c r="AF275" s="224"/>
      <c r="AG275" s="224"/>
      <c r="AH275" s="224"/>
      <c r="AI275" s="224"/>
      <c r="AJ275" s="224"/>
      <c r="AK275" s="224"/>
      <c r="AL275" s="224"/>
      <c r="AM275" s="224"/>
      <c r="AN275" s="224"/>
      <c r="AO275" s="224"/>
      <c r="AP275" s="224"/>
    </row>
    <row r="276" spans="1:42" x14ac:dyDescent="0.2">
      <c r="A276" s="133"/>
      <c r="B276" s="225"/>
      <c r="C276" s="225"/>
      <c r="D276" s="225"/>
      <c r="E276" s="225"/>
      <c r="F276" s="225"/>
      <c r="G276" s="225"/>
      <c r="H276" s="225"/>
      <c r="I276" s="225"/>
      <c r="J276" s="225"/>
      <c r="K276" s="225"/>
      <c r="L276" s="225"/>
      <c r="M276" s="225"/>
      <c r="N276" s="225"/>
      <c r="O276" s="225"/>
      <c r="P276" s="225"/>
      <c r="Q276" s="225"/>
      <c r="R276" s="225"/>
      <c r="S276" s="225"/>
      <c r="T276" s="225"/>
      <c r="U276" s="225"/>
      <c r="V276" s="225"/>
      <c r="W276" s="225"/>
      <c r="X276" s="225"/>
      <c r="Y276" s="225"/>
      <c r="Z276" s="225"/>
      <c r="AA276" s="225"/>
      <c r="AB276" s="225"/>
      <c r="AC276" s="225"/>
      <c r="AD276" s="225"/>
      <c r="AE276" s="225"/>
      <c r="AF276" s="225"/>
      <c r="AG276" s="225"/>
      <c r="AH276" s="225"/>
      <c r="AI276" s="225"/>
      <c r="AJ276" s="225"/>
      <c r="AK276" s="225"/>
      <c r="AL276" s="225"/>
      <c r="AM276" s="225"/>
      <c r="AN276" s="225"/>
      <c r="AO276" s="225"/>
      <c r="AP276" s="225"/>
    </row>
    <row r="277" spans="1:42" x14ac:dyDescent="0.2">
      <c r="A277" s="133"/>
      <c r="B277" s="133"/>
      <c r="C277" s="133"/>
      <c r="D277" s="133"/>
      <c r="E277" s="133"/>
      <c r="F277" s="133"/>
      <c r="G277" s="133"/>
      <c r="H277" s="133"/>
      <c r="I277" s="133"/>
      <c r="J277" s="133"/>
      <c r="K277" s="133"/>
      <c r="L277" s="133"/>
      <c r="M277" s="133"/>
      <c r="N277" s="133"/>
      <c r="O277" s="133"/>
      <c r="P277" s="133"/>
      <c r="Q277" s="133"/>
      <c r="R277" s="133"/>
      <c r="S277" s="133"/>
      <c r="T277" s="133"/>
      <c r="U277" s="133"/>
      <c r="V277" s="133"/>
      <c r="W277" s="133"/>
      <c r="X277" s="133"/>
      <c r="Y277" s="133"/>
      <c r="Z277" s="133"/>
      <c r="AA277" s="133"/>
      <c r="AB277" s="133"/>
      <c r="AC277" s="133"/>
      <c r="AD277" s="133"/>
      <c r="AE277" s="133"/>
      <c r="AF277" s="133"/>
      <c r="AG277" s="133"/>
      <c r="AH277" s="133"/>
      <c r="AI277" s="133"/>
      <c r="AJ277" s="133"/>
      <c r="AK277" s="133"/>
      <c r="AL277" s="133"/>
      <c r="AM277" s="133"/>
      <c r="AN277" s="133"/>
      <c r="AO277" s="133"/>
      <c r="AP277" s="133"/>
    </row>
    <row r="278" spans="1:42" ht="22.5" x14ac:dyDescent="0.2">
      <c r="A278" s="199" t="s">
        <v>396</v>
      </c>
      <c r="B278" s="300" t="s">
        <v>318</v>
      </c>
      <c r="C278" s="300" t="s">
        <v>318</v>
      </c>
      <c r="D278" s="300" t="s">
        <v>318</v>
      </c>
      <c r="E278" s="300" t="s">
        <v>318</v>
      </c>
      <c r="F278" s="300" t="s">
        <v>318</v>
      </c>
      <c r="G278" s="171"/>
      <c r="H278" s="172" t="s">
        <v>319</v>
      </c>
      <c r="I278" s="172"/>
      <c r="J278" s="172"/>
      <c r="K278" s="172"/>
      <c r="L278" s="172"/>
      <c r="M278" s="172"/>
      <c r="N278" s="172"/>
      <c r="O278" s="172"/>
      <c r="P278" s="172"/>
      <c r="Q278" s="172"/>
      <c r="R278" s="172"/>
      <c r="S278" s="172"/>
      <c r="T278" s="172"/>
      <c r="U278" s="172"/>
      <c r="V278" s="172"/>
      <c r="W278" s="172"/>
      <c r="X278" s="172"/>
      <c r="Y278" s="172"/>
      <c r="Z278" s="172"/>
      <c r="AA278" s="172"/>
      <c r="AB278" s="172"/>
      <c r="AC278" s="172"/>
      <c r="AD278" s="172"/>
      <c r="AE278" s="172"/>
      <c r="AF278" s="172"/>
      <c r="AG278" s="172"/>
      <c r="AH278" s="172"/>
      <c r="AI278" s="172"/>
      <c r="AJ278" s="172"/>
      <c r="AK278" s="172"/>
      <c r="AL278" s="172"/>
      <c r="AM278" s="172"/>
      <c r="AN278" s="172"/>
      <c r="AO278" s="172" t="s">
        <v>319</v>
      </c>
      <c r="AP278" s="172" t="s">
        <v>319</v>
      </c>
    </row>
    <row r="279" spans="1:42" ht="13.5" x14ac:dyDescent="0.25">
      <c r="A279" s="200" t="s">
        <v>397</v>
      </c>
      <c r="B279" s="226"/>
      <c r="C279" s="226"/>
      <c r="D279" s="226"/>
      <c r="E279" s="226"/>
      <c r="F279" s="226"/>
      <c r="G279" s="226"/>
      <c r="H279" s="227"/>
      <c r="I279" s="227"/>
      <c r="J279" s="227"/>
      <c r="K279" s="227"/>
      <c r="L279" s="227"/>
      <c r="M279" s="227"/>
      <c r="N279" s="227"/>
      <c r="O279" s="227"/>
      <c r="P279" s="227"/>
      <c r="Q279" s="227"/>
      <c r="R279" s="227"/>
      <c r="S279" s="227"/>
      <c r="T279" s="227"/>
      <c r="U279" s="227"/>
      <c r="V279" s="227"/>
      <c r="W279" s="227"/>
      <c r="X279" s="227"/>
      <c r="Y279" s="227"/>
      <c r="Z279" s="227"/>
      <c r="AA279" s="227"/>
      <c r="AB279" s="227"/>
      <c r="AC279" s="227"/>
      <c r="AD279" s="227"/>
      <c r="AE279" s="227"/>
      <c r="AF279" s="227"/>
      <c r="AG279" s="227"/>
      <c r="AH279" s="227"/>
      <c r="AI279" s="227"/>
      <c r="AJ279" s="227"/>
      <c r="AK279" s="227"/>
      <c r="AL279" s="227"/>
      <c r="AM279" s="227"/>
      <c r="AN279" s="227"/>
      <c r="AO279" s="227"/>
      <c r="AP279" s="227"/>
    </row>
    <row r="280" spans="1:42" ht="13.5" x14ac:dyDescent="0.25">
      <c r="A280" s="203"/>
      <c r="B280" s="228"/>
      <c r="C280" s="228"/>
      <c r="D280" s="228"/>
      <c r="E280" s="228"/>
      <c r="F280" s="228"/>
      <c r="G280" s="228"/>
      <c r="H280" s="228"/>
      <c r="I280" s="228"/>
      <c r="J280" s="228"/>
      <c r="K280" s="228"/>
      <c r="L280" s="228"/>
      <c r="M280" s="228"/>
      <c r="N280" s="228"/>
      <c r="O280" s="228"/>
      <c r="P280" s="228"/>
      <c r="Q280" s="228"/>
      <c r="R280" s="228"/>
      <c r="S280" s="228"/>
      <c r="T280" s="228"/>
      <c r="U280" s="228"/>
      <c r="V280" s="228"/>
      <c r="W280" s="228"/>
      <c r="X280" s="228"/>
      <c r="Y280" s="228"/>
      <c r="Z280" s="228"/>
      <c r="AA280" s="228"/>
      <c r="AB280" s="228"/>
      <c r="AC280" s="228"/>
      <c r="AD280" s="228"/>
      <c r="AE280" s="228"/>
      <c r="AF280" s="228"/>
      <c r="AG280" s="228"/>
      <c r="AH280" s="228"/>
      <c r="AI280" s="228"/>
      <c r="AJ280" s="228"/>
      <c r="AK280" s="228"/>
      <c r="AL280" s="228"/>
      <c r="AM280" s="228"/>
      <c r="AN280" s="228"/>
      <c r="AO280" s="228"/>
      <c r="AP280" s="228"/>
    </row>
    <row r="281" spans="1:42" ht="13.5" x14ac:dyDescent="0.25">
      <c r="A281" s="203" t="s">
        <v>0</v>
      </c>
      <c r="B281" s="205" t="e">
        <f>B282+B285+B289+B293+B296</f>
        <v>#REF!</v>
      </c>
      <c r="C281" s="205" t="e">
        <f>C282+C285+C289+C293+C296</f>
        <v>#REF!</v>
      </c>
      <c r="D281" s="205" t="e">
        <f>D282+D285+D289+D293+D296</f>
        <v>#REF!</v>
      </c>
      <c r="E281" s="205" t="e">
        <f>E282+E285+E289+E293+E296</f>
        <v>#REF!</v>
      </c>
      <c r="F281" s="205" t="e">
        <f>F282+F285+F289+F293+F296</f>
        <v>#REF!</v>
      </c>
      <c r="G281" s="205"/>
      <c r="H281" s="205">
        <f>H282+H285+H289+H293+H296</f>
        <v>491395618</v>
      </c>
      <c r="I281" s="205"/>
      <c r="J281" s="205"/>
      <c r="K281" s="205"/>
      <c r="L281" s="205"/>
      <c r="M281" s="205"/>
      <c r="N281" s="205"/>
      <c r="O281" s="205"/>
      <c r="P281" s="205"/>
      <c r="Q281" s="205"/>
      <c r="R281" s="205"/>
      <c r="S281" s="205"/>
      <c r="T281" s="205"/>
      <c r="U281" s="205"/>
      <c r="V281" s="205"/>
      <c r="W281" s="205"/>
      <c r="X281" s="205"/>
      <c r="Y281" s="205"/>
      <c r="Z281" s="205"/>
      <c r="AA281" s="205"/>
      <c r="AB281" s="205"/>
      <c r="AC281" s="205"/>
      <c r="AD281" s="205"/>
      <c r="AE281" s="205"/>
      <c r="AF281" s="205"/>
      <c r="AG281" s="205"/>
      <c r="AH281" s="205"/>
      <c r="AI281" s="205"/>
      <c r="AJ281" s="205"/>
      <c r="AK281" s="205"/>
      <c r="AL281" s="205"/>
      <c r="AM281" s="205"/>
      <c r="AN281" s="205"/>
      <c r="AO281" s="205">
        <f>AO282+AO285+AO289+AO293+AO296</f>
        <v>508000000</v>
      </c>
      <c r="AP281" s="205">
        <f>AP282+AP285+AP289+AP293+AP296</f>
        <v>436000000</v>
      </c>
    </row>
    <row r="282" spans="1:42" ht="13.5" x14ac:dyDescent="0.25">
      <c r="A282" s="196" t="s">
        <v>348</v>
      </c>
      <c r="B282" s="206" t="e">
        <f>SUM(B283:B284)</f>
        <v>#REF!</v>
      </c>
      <c r="C282" s="206" t="e">
        <f>SUM(C283:C284)</f>
        <v>#REF!</v>
      </c>
      <c r="D282" s="206" t="e">
        <f>SUM(D283:D284)</f>
        <v>#REF!</v>
      </c>
      <c r="E282" s="206" t="e">
        <f>SUM(E283:E284)</f>
        <v>#REF!</v>
      </c>
      <c r="F282" s="206" t="e">
        <f>SUM(F283:F284)</f>
        <v>#REF!</v>
      </c>
      <c r="G282" s="206"/>
      <c r="H282" s="206">
        <f>SUM(H283:H284)</f>
        <v>88000000</v>
      </c>
      <c r="I282" s="206"/>
      <c r="J282" s="206"/>
      <c r="K282" s="206"/>
      <c r="L282" s="206"/>
      <c r="M282" s="206"/>
      <c r="N282" s="206"/>
      <c r="O282" s="206"/>
      <c r="P282" s="206"/>
      <c r="Q282" s="206"/>
      <c r="R282" s="206"/>
      <c r="S282" s="206"/>
      <c r="T282" s="206"/>
      <c r="U282" s="206"/>
      <c r="V282" s="206"/>
      <c r="W282" s="206"/>
      <c r="X282" s="206"/>
      <c r="Y282" s="206"/>
      <c r="Z282" s="206"/>
      <c r="AA282" s="206"/>
      <c r="AB282" s="206"/>
      <c r="AC282" s="206"/>
      <c r="AD282" s="206"/>
      <c r="AE282" s="206"/>
      <c r="AF282" s="206"/>
      <c r="AG282" s="206"/>
      <c r="AH282" s="206"/>
      <c r="AI282" s="206"/>
      <c r="AJ282" s="206"/>
      <c r="AK282" s="206"/>
      <c r="AL282" s="206"/>
      <c r="AM282" s="206"/>
      <c r="AN282" s="206"/>
      <c r="AO282" s="206">
        <f>SUM(AO283:AO284)</f>
        <v>95000000</v>
      </c>
      <c r="AP282" s="206">
        <f>SUM(AP283:AP284)</f>
        <v>100000000</v>
      </c>
    </row>
    <row r="283" spans="1:42" ht="13.5" x14ac:dyDescent="0.25">
      <c r="A283" s="207" t="s">
        <v>349</v>
      </c>
      <c r="B283" s="179" t="e">
        <f t="array" ref="B283">SUM(IF('[5]2013-2016 Projects'!$O$4:$O$202="Renewal-30",'[5]2013-2016 Projects'!$V$4:$V$202,0))</f>
        <v>#REF!</v>
      </c>
      <c r="C283" s="179" t="e">
        <f t="array" ref="C283">SUM(IF('[5]2013-2016 Projects'!$O$4:$O$202="Renewal-30",'[5]2013-2016 Projects'!$V$4:$V$202,0))</f>
        <v>#REF!</v>
      </c>
      <c r="D283" s="179" t="e">
        <f t="array" ref="D283">SUM(IF('[5]2013-2016 Projects'!$O$4:$O$202="Renewal-30",'[5]2013-2016 Projects'!$V$4:$V$202,0))</f>
        <v>#REF!</v>
      </c>
      <c r="E283" s="179" t="e">
        <f t="array" ref="E283">SUM(IF('[5]2013-2016 Projects'!$O$4:$O$202="Renewal-30",'[5]2013-2016 Projects'!$V$4:$V$202,0))</f>
        <v>#REF!</v>
      </c>
      <c r="F283" s="179" t="e">
        <f t="array" ref="F283">SUM(IF('[5]2013-2016 Projects'!$O$4:$O$202="Renewal-30",'[5]2013-2016 Projects'!$V$4:$V$202,0))</f>
        <v>#REF!</v>
      </c>
      <c r="G283" s="179"/>
      <c r="H283" s="179">
        <f t="array" ref="H283">SUM(IF('2014-2017 Projects'!$T$5:$T$258="Renewal-30",'2014-2017 Projects'!$AK$5:$AK$258,0))</f>
        <v>88000000</v>
      </c>
      <c r="I283" s="179"/>
      <c r="J283" s="179"/>
      <c r="K283" s="179"/>
      <c r="L283" s="179"/>
      <c r="M283" s="179"/>
      <c r="N283" s="179"/>
      <c r="O283" s="179"/>
      <c r="P283" s="179"/>
      <c r="Q283" s="179"/>
      <c r="R283" s="179"/>
      <c r="S283" s="179"/>
      <c r="T283" s="179"/>
      <c r="U283" s="179"/>
      <c r="V283" s="179"/>
      <c r="W283" s="179"/>
      <c r="X283" s="179"/>
      <c r="Y283" s="179"/>
      <c r="Z283" s="179"/>
      <c r="AA283" s="179"/>
      <c r="AB283" s="179"/>
      <c r="AC283" s="179"/>
      <c r="AD283" s="179"/>
      <c r="AE283" s="179"/>
      <c r="AF283" s="179"/>
      <c r="AG283" s="179"/>
      <c r="AH283" s="179"/>
      <c r="AI283" s="179"/>
      <c r="AJ283" s="179"/>
      <c r="AK283" s="179"/>
      <c r="AL283" s="179"/>
      <c r="AM283" s="179"/>
      <c r="AN283" s="179"/>
      <c r="AO283" s="179">
        <f t="array" ref="AO283">SUM(IF('2014-2017 Projects'!$T$5:$T$258="Renewal-30",'2014-2017 Projects'!$CG$5:$CG$258,0))</f>
        <v>95000000</v>
      </c>
      <c r="AP283" s="179">
        <f t="array" ref="AP283">SUM(IF('2014-2017 Projects'!$T$5:$T$258="Renewal-30",'2014-2017 Projects'!$CH$5:$CH$258,0))</f>
        <v>100000000</v>
      </c>
    </row>
    <row r="284" spans="1:42" ht="13.5" x14ac:dyDescent="0.25">
      <c r="A284" s="207" t="s">
        <v>350</v>
      </c>
      <c r="B284" s="179">
        <v>0</v>
      </c>
      <c r="C284" s="179">
        <v>0</v>
      </c>
      <c r="D284" s="179">
        <v>0</v>
      </c>
      <c r="E284" s="179">
        <v>0</v>
      </c>
      <c r="F284" s="179">
        <v>0</v>
      </c>
      <c r="G284" s="179"/>
      <c r="H284" s="179"/>
      <c r="I284" s="179"/>
      <c r="J284" s="179"/>
      <c r="K284" s="179"/>
      <c r="L284" s="179"/>
      <c r="M284" s="179"/>
      <c r="N284" s="179"/>
      <c r="O284" s="179"/>
      <c r="P284" s="179"/>
      <c r="Q284" s="179"/>
      <c r="R284" s="179"/>
      <c r="S284" s="179"/>
      <c r="T284" s="179"/>
      <c r="U284" s="179"/>
      <c r="V284" s="179"/>
      <c r="W284" s="179"/>
      <c r="X284" s="179"/>
      <c r="Y284" s="179"/>
      <c r="Z284" s="179"/>
      <c r="AA284" s="179"/>
      <c r="AB284" s="179"/>
      <c r="AC284" s="179"/>
      <c r="AD284" s="179"/>
      <c r="AE284" s="179"/>
      <c r="AF284" s="179"/>
      <c r="AG284" s="179"/>
      <c r="AH284" s="179"/>
      <c r="AI284" s="179"/>
      <c r="AJ284" s="179"/>
      <c r="AK284" s="179"/>
      <c r="AL284" s="179"/>
      <c r="AM284" s="179"/>
      <c r="AN284" s="179"/>
      <c r="AO284" s="179"/>
      <c r="AP284" s="179"/>
    </row>
    <row r="285" spans="1:42" ht="13.5" x14ac:dyDescent="0.25">
      <c r="A285" s="196" t="s">
        <v>351</v>
      </c>
      <c r="B285" s="197" t="e">
        <f>SUM(B286:B288)</f>
        <v>#REF!</v>
      </c>
      <c r="C285" s="197" t="e">
        <f>SUM(C286:C288)</f>
        <v>#REF!</v>
      </c>
      <c r="D285" s="197" t="e">
        <f>SUM(D286:D288)</f>
        <v>#REF!</v>
      </c>
      <c r="E285" s="197" t="e">
        <f>SUM(E286:E288)</f>
        <v>#REF!</v>
      </c>
      <c r="F285" s="197" t="e">
        <f>SUM(F286:F288)</f>
        <v>#REF!</v>
      </c>
      <c r="G285" s="197"/>
      <c r="H285" s="197">
        <f>SUM(H286:H288)</f>
        <v>89199000</v>
      </c>
      <c r="I285" s="197"/>
      <c r="J285" s="197"/>
      <c r="K285" s="197"/>
      <c r="L285" s="197"/>
      <c r="M285" s="197"/>
      <c r="N285" s="197"/>
      <c r="O285" s="197"/>
      <c r="P285" s="197"/>
      <c r="Q285" s="197"/>
      <c r="R285" s="197"/>
      <c r="S285" s="197"/>
      <c r="T285" s="197"/>
      <c r="U285" s="197"/>
      <c r="V285" s="197"/>
      <c r="W285" s="197"/>
      <c r="X285" s="197"/>
      <c r="Y285" s="197"/>
      <c r="Z285" s="197"/>
      <c r="AA285" s="197"/>
      <c r="AB285" s="197"/>
      <c r="AC285" s="197"/>
      <c r="AD285" s="197"/>
      <c r="AE285" s="197"/>
      <c r="AF285" s="197"/>
      <c r="AG285" s="197"/>
      <c r="AH285" s="197"/>
      <c r="AI285" s="197"/>
      <c r="AJ285" s="197"/>
      <c r="AK285" s="197"/>
      <c r="AL285" s="197"/>
      <c r="AM285" s="197"/>
      <c r="AN285" s="197"/>
      <c r="AO285" s="197">
        <f>SUM(AO286:AO288)</f>
        <v>92000000</v>
      </c>
      <c r="AP285" s="197">
        <f>SUM(AP286:AP288)</f>
        <v>108000000</v>
      </c>
    </row>
    <row r="286" spans="1:42" ht="13.5" x14ac:dyDescent="0.25">
      <c r="A286" s="207" t="s">
        <v>352</v>
      </c>
      <c r="B286" s="179">
        <v>0</v>
      </c>
      <c r="C286" s="179">
        <v>0</v>
      </c>
      <c r="D286" s="179">
        <v>0</v>
      </c>
      <c r="E286" s="179">
        <v>0</v>
      </c>
      <c r="F286" s="179">
        <v>0</v>
      </c>
      <c r="G286" s="179"/>
      <c r="H286" s="179"/>
      <c r="I286" s="179"/>
      <c r="J286" s="179"/>
      <c r="K286" s="179"/>
      <c r="L286" s="179"/>
      <c r="M286" s="179"/>
      <c r="N286" s="179"/>
      <c r="O286" s="179"/>
      <c r="P286" s="179"/>
      <c r="Q286" s="179"/>
      <c r="R286" s="179"/>
      <c r="S286" s="179"/>
      <c r="T286" s="179"/>
      <c r="U286" s="179"/>
      <c r="V286" s="179"/>
      <c r="W286" s="179"/>
      <c r="X286" s="179"/>
      <c r="Y286" s="179"/>
      <c r="Z286" s="179"/>
      <c r="AA286" s="179"/>
      <c r="AB286" s="179"/>
      <c r="AC286" s="179"/>
      <c r="AD286" s="179"/>
      <c r="AE286" s="179"/>
      <c r="AF286" s="179"/>
      <c r="AG286" s="179"/>
      <c r="AH286" s="179"/>
      <c r="AI286" s="179"/>
      <c r="AJ286" s="179"/>
      <c r="AK286" s="179"/>
      <c r="AL286" s="179"/>
      <c r="AM286" s="179"/>
      <c r="AN286" s="179"/>
      <c r="AO286" s="179"/>
      <c r="AP286" s="179"/>
    </row>
    <row r="287" spans="1:42" ht="13.5" x14ac:dyDescent="0.25">
      <c r="A287" s="207" t="s">
        <v>353</v>
      </c>
      <c r="B287" s="179" t="e">
        <f t="array" ref="B287">SUM(IF('[5]2013-2016 Projects'!$O$4:$O$202="Renewal-60",'[5]2013-2016 Projects'!$V$4:$V$202,0))</f>
        <v>#REF!</v>
      </c>
      <c r="C287" s="179" t="e">
        <f t="array" ref="C287">SUM(IF('[5]2013-2016 Projects'!$O$4:$O$202="Renewal-60",'[5]2013-2016 Projects'!$V$4:$V$202,0))</f>
        <v>#REF!</v>
      </c>
      <c r="D287" s="179" t="e">
        <f t="array" ref="D287">SUM(IF('[5]2013-2016 Projects'!$O$4:$O$202="Renewal-60",'[5]2013-2016 Projects'!$V$4:$V$202,0))</f>
        <v>#REF!</v>
      </c>
      <c r="E287" s="179" t="e">
        <f t="array" ref="E287">SUM(IF('[5]2013-2016 Projects'!$O$4:$O$202="Renewal-60",'[5]2013-2016 Projects'!$V$4:$V$202,0))</f>
        <v>#REF!</v>
      </c>
      <c r="F287" s="179" t="e">
        <f t="array" ref="F287">SUM(IF('[5]2013-2016 Projects'!$O$4:$O$202="Renewal-60",'[5]2013-2016 Projects'!$V$4:$V$202,0))</f>
        <v>#REF!</v>
      </c>
      <c r="G287" s="179"/>
      <c r="H287" s="179">
        <f t="array" ref="H287">SUM(IF('2014-2017 Projects'!$T$5:$T$258="Renewal-60",'2014-2017 Projects'!$AK$5:$AK$258,0))</f>
        <v>89199000</v>
      </c>
      <c r="I287" s="179"/>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f t="array" ref="AO287">SUM(IF('2014-2017 Projects'!$T$5:$T$258="Renewal-60",'2014-2017 Projects'!$CG$5:$CG$258,0))</f>
        <v>92000000</v>
      </c>
      <c r="AP287" s="179">
        <f t="array" ref="AP287">SUM(IF('2014-2017 Projects'!$T$5:$T$258="Renewal-60",'2014-2017 Projects'!$CH$5:$CH$258,0))</f>
        <v>108000000</v>
      </c>
    </row>
    <row r="288" spans="1:42" ht="13.5" x14ac:dyDescent="0.25">
      <c r="A288" s="207" t="s">
        <v>354</v>
      </c>
      <c r="B288" s="179" t="e">
        <f t="array" ref="B288">SUM(IF('[5]2013-2016 Projects'!$O$4:$O$202="Renewal-90",'[5]2013-2016 Projects'!$V$4:$V$202,0))</f>
        <v>#REF!</v>
      </c>
      <c r="C288" s="179" t="e">
        <f t="array" ref="C288">SUM(IF('[5]2013-2016 Projects'!$O$4:$O$202="Renewal-90",'[5]2013-2016 Projects'!$V$4:$V$202,0))</f>
        <v>#REF!</v>
      </c>
      <c r="D288" s="179" t="e">
        <f t="array" ref="D288">SUM(IF('[5]2013-2016 Projects'!$O$4:$O$202="Renewal-90",'[5]2013-2016 Projects'!$V$4:$V$202,0))</f>
        <v>#REF!</v>
      </c>
      <c r="E288" s="179" t="e">
        <f t="array" ref="E288">SUM(IF('[5]2013-2016 Projects'!$O$4:$O$202="Renewal-90",'[5]2013-2016 Projects'!$V$4:$V$202,0))</f>
        <v>#REF!</v>
      </c>
      <c r="F288" s="179" t="e">
        <f t="array" ref="F288">SUM(IF('[5]2013-2016 Projects'!$O$4:$O$202="Renewal-90",'[5]2013-2016 Projects'!$V$4:$V$202,0))</f>
        <v>#REF!</v>
      </c>
      <c r="G288" s="179"/>
      <c r="H288" s="179">
        <f t="array" ref="H288">SUM(IF('2014-2017 Projects'!$T$5:$T$258="New-90",'2014-2017 Projects'!$AK$5:$AK$258,0))</f>
        <v>0</v>
      </c>
      <c r="I288" s="179"/>
      <c r="J288" s="179"/>
      <c r="K288" s="179"/>
      <c r="L288" s="179"/>
      <c r="M288" s="179"/>
      <c r="N288" s="179"/>
      <c r="O288" s="179"/>
      <c r="P288" s="179"/>
      <c r="Q288" s="179"/>
      <c r="R288" s="179"/>
      <c r="S288" s="179"/>
      <c r="T288" s="179"/>
      <c r="U288" s="179"/>
      <c r="V288" s="179"/>
      <c r="W288" s="179"/>
      <c r="X288" s="179"/>
      <c r="Y288" s="179"/>
      <c r="Z288" s="179"/>
      <c r="AA288" s="179"/>
      <c r="AB288" s="179"/>
      <c r="AC288" s="179"/>
      <c r="AD288" s="179"/>
      <c r="AE288" s="179"/>
      <c r="AF288" s="179"/>
      <c r="AG288" s="179"/>
      <c r="AH288" s="179"/>
      <c r="AI288" s="179"/>
      <c r="AJ288" s="179"/>
      <c r="AK288" s="179"/>
      <c r="AL288" s="179"/>
      <c r="AM288" s="179"/>
      <c r="AN288" s="179"/>
      <c r="AO288" s="179">
        <f t="array" ref="AO288">SUM(IF('2014-2017 Projects'!$T$5:$T$258="New-90",'2014-2017 Projects'!$CG$5:$CG$258,0))</f>
        <v>0</v>
      </c>
      <c r="AP288" s="179">
        <f t="array" ref="AP288">SUM(IF('2014-2017 Projects'!$T$5:$T$258="New-90",'2014-2017 Projects'!$CH$5:$CH$258,0))</f>
        <v>0</v>
      </c>
    </row>
    <row r="289" spans="1:42" ht="13.5" x14ac:dyDescent="0.25">
      <c r="A289" s="195" t="s">
        <v>355</v>
      </c>
      <c r="B289" s="197" t="e">
        <f>SUM(B290:B292)</f>
        <v>#REF!</v>
      </c>
      <c r="C289" s="197" t="e">
        <f>SUM(C290:C292)</f>
        <v>#REF!</v>
      </c>
      <c r="D289" s="197" t="e">
        <f>SUM(D290:D292)</f>
        <v>#REF!</v>
      </c>
      <c r="E289" s="197" t="e">
        <f>SUM(E290:E292)</f>
        <v>#REF!</v>
      </c>
      <c r="F289" s="197" t="e">
        <f>SUM(F290:F292)</f>
        <v>#REF!</v>
      </c>
      <c r="G289" s="197"/>
      <c r="H289" s="197">
        <f>SUM(H290:H292)</f>
        <v>97688726</v>
      </c>
      <c r="I289" s="197"/>
      <c r="J289" s="197"/>
      <c r="K289" s="197"/>
      <c r="L289" s="197"/>
      <c r="M289" s="197"/>
      <c r="N289" s="197"/>
      <c r="O289" s="197"/>
      <c r="P289" s="197"/>
      <c r="Q289" s="197"/>
      <c r="R289" s="197"/>
      <c r="S289" s="197"/>
      <c r="T289" s="197"/>
      <c r="U289" s="197"/>
      <c r="V289" s="197"/>
      <c r="W289" s="197"/>
      <c r="X289" s="197"/>
      <c r="Y289" s="197"/>
      <c r="Z289" s="197"/>
      <c r="AA289" s="197"/>
      <c r="AB289" s="197"/>
      <c r="AC289" s="197"/>
      <c r="AD289" s="197"/>
      <c r="AE289" s="197"/>
      <c r="AF289" s="197"/>
      <c r="AG289" s="197"/>
      <c r="AH289" s="197"/>
      <c r="AI289" s="197"/>
      <c r="AJ289" s="197"/>
      <c r="AK289" s="197"/>
      <c r="AL289" s="197"/>
      <c r="AM289" s="197"/>
      <c r="AN289" s="197"/>
      <c r="AO289" s="197">
        <f>SUM(AO290:AO292)</f>
        <v>91000000</v>
      </c>
      <c r="AP289" s="197">
        <f>SUM(AP290:AP292)</f>
        <v>91000000</v>
      </c>
    </row>
    <row r="290" spans="1:42" ht="13.5" x14ac:dyDescent="0.25">
      <c r="A290" s="207" t="s">
        <v>356</v>
      </c>
      <c r="B290" s="180"/>
      <c r="C290" s="180"/>
      <c r="D290" s="180"/>
      <c r="E290" s="180"/>
      <c r="F290" s="180"/>
      <c r="G290" s="180"/>
      <c r="H290" s="180"/>
      <c r="I290" s="180"/>
      <c r="J290" s="180"/>
      <c r="K290" s="180"/>
      <c r="L290" s="180"/>
      <c r="M290" s="180"/>
      <c r="N290" s="180"/>
      <c r="O290" s="180"/>
      <c r="P290" s="180"/>
      <c r="Q290" s="180"/>
      <c r="R290" s="180"/>
      <c r="S290" s="180"/>
      <c r="T290" s="180"/>
      <c r="U290" s="180"/>
      <c r="V290" s="180"/>
      <c r="W290" s="180"/>
      <c r="X290" s="180"/>
      <c r="Y290" s="180"/>
      <c r="Z290" s="180"/>
      <c r="AA290" s="180"/>
      <c r="AB290" s="180"/>
      <c r="AC290" s="180"/>
      <c r="AD290" s="180"/>
      <c r="AE290" s="180"/>
      <c r="AF290" s="180"/>
      <c r="AG290" s="180"/>
      <c r="AH290" s="180"/>
      <c r="AI290" s="180"/>
      <c r="AJ290" s="180"/>
      <c r="AK290" s="180"/>
      <c r="AL290" s="180"/>
      <c r="AM290" s="180"/>
      <c r="AN290" s="180"/>
      <c r="AO290" s="180"/>
      <c r="AP290" s="180"/>
    </row>
    <row r="291" spans="1:42" ht="13.5" x14ac:dyDescent="0.25">
      <c r="A291" s="207" t="s">
        <v>357</v>
      </c>
      <c r="B291" s="180"/>
      <c r="C291" s="180"/>
      <c r="D291" s="180"/>
      <c r="E291" s="180"/>
      <c r="F291" s="180"/>
      <c r="G291" s="180"/>
      <c r="H291" s="180"/>
      <c r="I291" s="180"/>
      <c r="J291" s="180"/>
      <c r="K291" s="180"/>
      <c r="L291" s="180"/>
      <c r="M291" s="180"/>
      <c r="N291" s="180"/>
      <c r="O291" s="180"/>
      <c r="P291" s="180"/>
      <c r="Q291" s="180"/>
      <c r="R291" s="180"/>
      <c r="S291" s="180"/>
      <c r="T291" s="180"/>
      <c r="U291" s="180"/>
      <c r="V291" s="180"/>
      <c r="W291" s="180"/>
      <c r="X291" s="180"/>
      <c r="Y291" s="180"/>
      <c r="Z291" s="180"/>
      <c r="AA291" s="180"/>
      <c r="AB291" s="180"/>
      <c r="AC291" s="180"/>
      <c r="AD291" s="180"/>
      <c r="AE291" s="180"/>
      <c r="AF291" s="180"/>
      <c r="AG291" s="180"/>
      <c r="AH291" s="180"/>
      <c r="AI291" s="180"/>
      <c r="AJ291" s="180"/>
      <c r="AK291" s="180"/>
      <c r="AL291" s="180"/>
      <c r="AM291" s="180"/>
      <c r="AN291" s="180"/>
      <c r="AO291" s="180"/>
      <c r="AP291" s="180"/>
    </row>
    <row r="292" spans="1:42" ht="13.5" x14ac:dyDescent="0.25">
      <c r="A292" s="207" t="s">
        <v>358</v>
      </c>
      <c r="B292" s="179" t="e">
        <f t="array" ref="B292">SUM(IF('[5]2013-2016 Projects'!$O$4:$O$202="Renewal-40",'[5]2013-2016 Projects'!$V$4:$V$202,0))</f>
        <v>#REF!</v>
      </c>
      <c r="C292" s="179" t="e">
        <f t="array" ref="C292">SUM(IF('[5]2013-2016 Projects'!$O$4:$O$202="Renewal-40",'[5]2013-2016 Projects'!$V$4:$V$202,0))</f>
        <v>#REF!</v>
      </c>
      <c r="D292" s="179" t="e">
        <f t="array" ref="D292">SUM(IF('[5]2013-2016 Projects'!$O$4:$O$202="Renewal-40",'[5]2013-2016 Projects'!$V$4:$V$202,0))</f>
        <v>#REF!</v>
      </c>
      <c r="E292" s="179" t="e">
        <f t="array" ref="E292">SUM(IF('[5]2013-2016 Projects'!$O$4:$O$202="Renewal-40",'[5]2013-2016 Projects'!$V$4:$V$202,0))</f>
        <v>#REF!</v>
      </c>
      <c r="F292" s="179" t="e">
        <f t="array" ref="F292">SUM(IF('[5]2013-2016 Projects'!$O$4:$O$202="Renewal-40",'[5]2013-2016 Projects'!$V$4:$V$202,0))</f>
        <v>#REF!</v>
      </c>
      <c r="G292" s="179"/>
      <c r="H292" s="179">
        <f t="array" ref="H292">SUM(IF('2014-2017 Projects'!$T$5:$T$258="Renewal-40",'2014-2017 Projects'!$AK$5:$AK$258,0))</f>
        <v>97688726</v>
      </c>
      <c r="I292" s="179"/>
      <c r="J292" s="179"/>
      <c r="K292" s="179"/>
      <c r="L292" s="179"/>
      <c r="M292" s="179"/>
      <c r="N292" s="179"/>
      <c r="O292" s="179"/>
      <c r="P292" s="179"/>
      <c r="Q292" s="179"/>
      <c r="R292" s="179"/>
      <c r="S292" s="179"/>
      <c r="T292" s="179"/>
      <c r="U292" s="179"/>
      <c r="V292" s="179"/>
      <c r="W292" s="179"/>
      <c r="X292" s="179"/>
      <c r="Y292" s="179"/>
      <c r="Z292" s="179"/>
      <c r="AA292" s="179"/>
      <c r="AB292" s="179"/>
      <c r="AC292" s="179"/>
      <c r="AD292" s="179"/>
      <c r="AE292" s="179"/>
      <c r="AF292" s="179"/>
      <c r="AG292" s="179"/>
      <c r="AH292" s="179"/>
      <c r="AI292" s="179"/>
      <c r="AJ292" s="179"/>
      <c r="AK292" s="179"/>
      <c r="AL292" s="179"/>
      <c r="AM292" s="179"/>
      <c r="AN292" s="179"/>
      <c r="AO292" s="179">
        <f t="array" ref="AO292">SUM(IF('2014-2017 Projects'!$T$5:$T$258="Renewal-40",'2014-2017 Projects'!$CG$5:$CG$258,0))</f>
        <v>91000000</v>
      </c>
      <c r="AP292" s="179">
        <f t="array" ref="AP292">SUM(IF('2014-2017 Projects'!$T$5:$T$258="Renewal-40",'2014-2017 Projects'!$CH$5:$CH$258,0))</f>
        <v>91000000</v>
      </c>
    </row>
    <row r="293" spans="1:42" ht="13.5" x14ac:dyDescent="0.25">
      <c r="A293" s="195" t="s">
        <v>359</v>
      </c>
      <c r="B293" s="197" t="e">
        <f>SUM(B294:B295)</f>
        <v>#REF!</v>
      </c>
      <c r="C293" s="197" t="e">
        <f>SUM(C294:C295)</f>
        <v>#REF!</v>
      </c>
      <c r="D293" s="197" t="e">
        <f>SUM(D294:D295)</f>
        <v>#REF!</v>
      </c>
      <c r="E293" s="197" t="e">
        <f>SUM(E294:E295)</f>
        <v>#REF!</v>
      </c>
      <c r="F293" s="197" t="e">
        <f>SUM(F294:F295)</f>
        <v>#REF!</v>
      </c>
      <c r="G293" s="197"/>
      <c r="H293" s="197">
        <f>SUM(H294:H295)</f>
        <v>216507892</v>
      </c>
      <c r="I293" s="197"/>
      <c r="J293" s="197"/>
      <c r="K293" s="197"/>
      <c r="L293" s="197"/>
      <c r="M293" s="197"/>
      <c r="N293" s="197"/>
      <c r="O293" s="197"/>
      <c r="P293" s="197"/>
      <c r="Q293" s="197"/>
      <c r="R293" s="197"/>
      <c r="S293" s="197"/>
      <c r="T293" s="197"/>
      <c r="U293" s="197"/>
      <c r="V293" s="197"/>
      <c r="W293" s="197"/>
      <c r="X293" s="197"/>
      <c r="Y293" s="197"/>
      <c r="Z293" s="197"/>
      <c r="AA293" s="197"/>
      <c r="AB293" s="197"/>
      <c r="AC293" s="197"/>
      <c r="AD293" s="197"/>
      <c r="AE293" s="197"/>
      <c r="AF293" s="197"/>
      <c r="AG293" s="197"/>
      <c r="AH293" s="197"/>
      <c r="AI293" s="197"/>
      <c r="AJ293" s="197"/>
      <c r="AK293" s="197"/>
      <c r="AL293" s="197"/>
      <c r="AM293" s="197"/>
      <c r="AN293" s="197"/>
      <c r="AO293" s="197">
        <f>SUM(AO294:AO295)</f>
        <v>230000000</v>
      </c>
      <c r="AP293" s="197">
        <f>SUM(AP294:AP295)</f>
        <v>137000000</v>
      </c>
    </row>
    <row r="294" spans="1:42" ht="13.5" x14ac:dyDescent="0.25">
      <c r="A294" s="207" t="s">
        <v>358</v>
      </c>
      <c r="B294" s="179" t="e">
        <f t="array" ref="B294">SUM(IF('[5]2013-2016 Projects'!$O$4:$O$202="Renewal-70",'[5]2013-2016 Projects'!$V$4:$V$202,0))</f>
        <v>#REF!</v>
      </c>
      <c r="C294" s="179" t="e">
        <f t="array" ref="C294">SUM(IF('[5]2013-2016 Projects'!$O$4:$O$202="Renewal-70",'[5]2013-2016 Projects'!$V$4:$V$202,0))</f>
        <v>#REF!</v>
      </c>
      <c r="D294" s="179" t="e">
        <f t="array" ref="D294">SUM(IF('[5]2013-2016 Projects'!$O$4:$O$202="Renewal-70",'[5]2013-2016 Projects'!$V$4:$V$202,0))</f>
        <v>#REF!</v>
      </c>
      <c r="E294" s="179" t="e">
        <f t="array" ref="E294">SUM(IF('[5]2013-2016 Projects'!$O$4:$O$202="Renewal-70",'[5]2013-2016 Projects'!$V$4:$V$202,0))</f>
        <v>#REF!</v>
      </c>
      <c r="F294" s="179" t="e">
        <f t="array" ref="F294">SUM(IF('[5]2013-2016 Projects'!$O$4:$O$202="Renewal-70",'[5]2013-2016 Projects'!$V$4:$V$202,0))</f>
        <v>#REF!</v>
      </c>
      <c r="G294" s="179"/>
      <c r="H294" s="179">
        <f t="array" ref="H294">SUM(IF('2014-2017 Projects'!$T$5:$T$258="Renewal-70",'2014-2017 Projects'!$AK$5:$AK$258,0))</f>
        <v>216507892</v>
      </c>
      <c r="I294" s="179"/>
      <c r="J294" s="179"/>
      <c r="K294" s="179"/>
      <c r="L294" s="179"/>
      <c r="M294" s="179"/>
      <c r="N294" s="179"/>
      <c r="O294" s="179"/>
      <c r="P294" s="179"/>
      <c r="Q294" s="179"/>
      <c r="R294" s="179"/>
      <c r="S294" s="179"/>
      <c r="T294" s="179"/>
      <c r="U294" s="179"/>
      <c r="V294" s="179"/>
      <c r="W294" s="179"/>
      <c r="X294" s="179"/>
      <c r="Y294" s="179"/>
      <c r="Z294" s="179"/>
      <c r="AA294" s="179"/>
      <c r="AB294" s="179"/>
      <c r="AC294" s="179"/>
      <c r="AD294" s="179"/>
      <c r="AE294" s="179"/>
      <c r="AF294" s="179"/>
      <c r="AG294" s="179"/>
      <c r="AH294" s="179"/>
      <c r="AI294" s="179"/>
      <c r="AJ294" s="179"/>
      <c r="AK294" s="179"/>
      <c r="AL294" s="179"/>
      <c r="AM294" s="179"/>
      <c r="AN294" s="179"/>
      <c r="AO294" s="179">
        <f t="array" ref="AO294">SUM(IF('2014-2017 Projects'!$T$5:$T$258="Renewal-70",'2014-2017 Projects'!$CG$5:$CG$258,0))</f>
        <v>230000000</v>
      </c>
      <c r="AP294" s="179">
        <f t="array" ref="AP294">SUM(IF('2014-2017 Projects'!$T$5:$T$258="Renewal-70",'2014-2017 Projects'!$CH$5:$CH$258,0))</f>
        <v>137000000</v>
      </c>
    </row>
    <row r="295" spans="1:42" ht="13.5" x14ac:dyDescent="0.25">
      <c r="A295" s="207" t="s">
        <v>360</v>
      </c>
      <c r="B295" s="180"/>
      <c r="C295" s="180"/>
      <c r="D295" s="180"/>
      <c r="E295" s="180"/>
      <c r="F295" s="180"/>
      <c r="G295" s="180"/>
      <c r="H295" s="180"/>
      <c r="I295" s="180"/>
      <c r="J295" s="180"/>
      <c r="K295" s="180"/>
      <c r="L295" s="180"/>
      <c r="M295" s="180"/>
      <c r="N295" s="180"/>
      <c r="O295" s="180"/>
      <c r="P295" s="180"/>
      <c r="Q295" s="180"/>
      <c r="R295" s="180"/>
      <c r="S295" s="180"/>
      <c r="T295" s="180"/>
      <c r="U295" s="180"/>
      <c r="V295" s="180"/>
      <c r="W295" s="180"/>
      <c r="X295" s="180"/>
      <c r="Y295" s="180"/>
      <c r="Z295" s="180"/>
      <c r="AA295" s="180"/>
      <c r="AB295" s="180"/>
      <c r="AC295" s="180"/>
      <c r="AD295" s="180"/>
      <c r="AE295" s="180"/>
      <c r="AF295" s="180"/>
      <c r="AG295" s="180"/>
      <c r="AH295" s="180"/>
      <c r="AI295" s="180"/>
      <c r="AJ295" s="180"/>
      <c r="AK295" s="180"/>
      <c r="AL295" s="180"/>
      <c r="AM295" s="180"/>
      <c r="AN295" s="180"/>
      <c r="AO295" s="180"/>
      <c r="AP295" s="180"/>
    </row>
    <row r="296" spans="1:42" ht="13.5" x14ac:dyDescent="0.25">
      <c r="A296" s="196" t="s">
        <v>361</v>
      </c>
      <c r="B296" s="197" t="e">
        <f>SUM(B297:B300)</f>
        <v>#REF!</v>
      </c>
      <c r="C296" s="197" t="e">
        <f>SUM(C297:C300)</f>
        <v>#REF!</v>
      </c>
      <c r="D296" s="197" t="e">
        <f>SUM(D297:D300)</f>
        <v>#REF!</v>
      </c>
      <c r="E296" s="197" t="e">
        <f>SUM(E297:E300)</f>
        <v>#REF!</v>
      </c>
      <c r="F296" s="197" t="e">
        <f>SUM(F297:F300)</f>
        <v>#REF!</v>
      </c>
      <c r="G296" s="197"/>
      <c r="H296" s="197">
        <f>SUM(H297:H300)</f>
        <v>0</v>
      </c>
      <c r="I296" s="197"/>
      <c r="J296" s="197"/>
      <c r="K296" s="197"/>
      <c r="L296" s="197"/>
      <c r="M296" s="197"/>
      <c r="N296" s="197"/>
      <c r="O296" s="197"/>
      <c r="P296" s="197"/>
      <c r="Q296" s="197"/>
      <c r="R296" s="197"/>
      <c r="S296" s="197"/>
      <c r="T296" s="197"/>
      <c r="U296" s="197"/>
      <c r="V296" s="197"/>
      <c r="W296" s="197"/>
      <c r="X296" s="197"/>
      <c r="Y296" s="197"/>
      <c r="Z296" s="197"/>
      <c r="AA296" s="197"/>
      <c r="AB296" s="197"/>
      <c r="AC296" s="197"/>
      <c r="AD296" s="197"/>
      <c r="AE296" s="197"/>
      <c r="AF296" s="197"/>
      <c r="AG296" s="197"/>
      <c r="AH296" s="197"/>
      <c r="AI296" s="197"/>
      <c r="AJ296" s="197"/>
      <c r="AK296" s="197"/>
      <c r="AL296" s="197"/>
      <c r="AM296" s="197"/>
      <c r="AN296" s="197"/>
      <c r="AO296" s="197">
        <f>SUM(AO297:AO300)</f>
        <v>0</v>
      </c>
      <c r="AP296" s="197">
        <f>SUM(AP297:AP300)</f>
        <v>0</v>
      </c>
    </row>
    <row r="297" spans="1:42" ht="13.5" x14ac:dyDescent="0.25">
      <c r="A297" s="207" t="s">
        <v>1</v>
      </c>
      <c r="B297" s="179" t="e">
        <f t="array" ref="B297">SUM(IF('[5]2013-2016 Projects'!$O$4:$O$202="Renewal-100",'[5]2013-2016 Projects'!$V$4:$V$202,0))</f>
        <v>#REF!</v>
      </c>
      <c r="C297" s="179" t="e">
        <f t="array" ref="C297">SUM(IF('[5]2013-2016 Projects'!$O$4:$O$202="Renewal-100",'[5]2013-2016 Projects'!$V$4:$V$202,0))</f>
        <v>#REF!</v>
      </c>
      <c r="D297" s="179" t="e">
        <f t="array" ref="D297">SUM(IF('[5]2013-2016 Projects'!$O$4:$O$202="Renewal-100",'[5]2013-2016 Projects'!$V$4:$V$202,0))</f>
        <v>#REF!</v>
      </c>
      <c r="E297" s="179" t="e">
        <f t="array" ref="E297">SUM(IF('[5]2013-2016 Projects'!$O$4:$O$202="Renewal-100",'[5]2013-2016 Projects'!$V$4:$V$202,0))</f>
        <v>#REF!</v>
      </c>
      <c r="F297" s="179" t="e">
        <f t="array" ref="F297">SUM(IF('[5]2013-2016 Projects'!$O$4:$O$202="Renewal-100",'[5]2013-2016 Projects'!$V$4:$V$202,0))</f>
        <v>#REF!</v>
      </c>
      <c r="G297" s="179"/>
      <c r="H297" s="179">
        <f t="array" ref="H297">SUM(IF('2014-2017 Projects'!$T$5:$T$258="Renewal-100",'2014-2017 Projects'!$AK$5:$AK$258,0))</f>
        <v>0</v>
      </c>
      <c r="I297" s="179"/>
      <c r="J297" s="179"/>
      <c r="K297" s="179"/>
      <c r="L297" s="179"/>
      <c r="M297" s="179"/>
      <c r="N297" s="179"/>
      <c r="O297" s="179"/>
      <c r="P297" s="179"/>
      <c r="Q297" s="179"/>
      <c r="R297" s="179"/>
      <c r="S297" s="179"/>
      <c r="T297" s="179"/>
      <c r="U297" s="179"/>
      <c r="V297" s="179"/>
      <c r="W297" s="179"/>
      <c r="X297" s="179"/>
      <c r="Y297" s="179"/>
      <c r="Z297" s="179"/>
      <c r="AA297" s="179"/>
      <c r="AB297" s="179"/>
      <c r="AC297" s="179"/>
      <c r="AD297" s="179"/>
      <c r="AE297" s="179"/>
      <c r="AF297" s="179"/>
      <c r="AG297" s="179"/>
      <c r="AH297" s="179"/>
      <c r="AI297" s="179"/>
      <c r="AJ297" s="179"/>
      <c r="AK297" s="179"/>
      <c r="AL297" s="179"/>
      <c r="AM297" s="179"/>
      <c r="AN297" s="179"/>
      <c r="AO297" s="179">
        <f t="array" ref="AO297">SUM(IF('2014-2017 Projects'!$T$5:$T$258="Renewal-100",'2014-2017 Projects'!$CG$5:$CG$258,0))</f>
        <v>0</v>
      </c>
      <c r="AP297" s="179">
        <f t="array" ref="AP297">SUM(IF('2014-2017 Projects'!$T$5:$T$258="Renewal-100",'2014-2017 Projects'!$CH$5:$CH$258,0))</f>
        <v>0</v>
      </c>
    </row>
    <row r="298" spans="1:42" ht="13.5" x14ac:dyDescent="0.25">
      <c r="A298" s="207" t="s">
        <v>362</v>
      </c>
      <c r="B298" s="179" t="e">
        <f t="array" ref="B298">SUM(IF('[5]2013-2016 Projects'!$O$4:$O$202="Renewal-50",'[5]2013-2016 Projects'!$V$4:$V$202,0))</f>
        <v>#REF!</v>
      </c>
      <c r="C298" s="179" t="e">
        <f t="array" ref="C298">SUM(IF('[5]2013-2016 Projects'!$O$4:$O$202="Renewal-50",'[5]2013-2016 Projects'!$V$4:$V$202,0))</f>
        <v>#REF!</v>
      </c>
      <c r="D298" s="179" t="e">
        <f t="array" ref="D298">SUM(IF('[5]2013-2016 Projects'!$O$4:$O$202="Renewal-50",'[5]2013-2016 Projects'!$V$4:$V$202,0))</f>
        <v>#REF!</v>
      </c>
      <c r="E298" s="179" t="e">
        <f t="array" ref="E298">SUM(IF('[5]2013-2016 Projects'!$O$4:$O$202="Renewal-50",'[5]2013-2016 Projects'!$V$4:$V$202,0))</f>
        <v>#REF!</v>
      </c>
      <c r="F298" s="179" t="e">
        <f t="array" ref="F298">SUM(IF('[5]2013-2016 Projects'!$O$4:$O$202="Renewal-50",'[5]2013-2016 Projects'!$V$4:$V$202,0))</f>
        <v>#REF!</v>
      </c>
      <c r="G298" s="179"/>
      <c r="H298" s="179">
        <f t="array" ref="H298">SUM(IF('2014-2017 Projects'!$T$5:$T$258="Renewal-50",'2014-2017 Projects'!$AK$5:$AK$258,0))</f>
        <v>0</v>
      </c>
      <c r="I298" s="179"/>
      <c r="J298" s="179"/>
      <c r="K298" s="179"/>
      <c r="L298" s="179"/>
      <c r="M298" s="179"/>
      <c r="N298" s="179"/>
      <c r="O298" s="179"/>
      <c r="P298" s="179"/>
      <c r="Q298" s="179"/>
      <c r="R298" s="179"/>
      <c r="S298" s="179"/>
      <c r="T298" s="179"/>
      <c r="U298" s="179"/>
      <c r="V298" s="179"/>
      <c r="W298" s="179"/>
      <c r="X298" s="179"/>
      <c r="Y298" s="179"/>
      <c r="Z298" s="179"/>
      <c r="AA298" s="179"/>
      <c r="AB298" s="179"/>
      <c r="AC298" s="179"/>
      <c r="AD298" s="179"/>
      <c r="AE298" s="179"/>
      <c r="AF298" s="179"/>
      <c r="AG298" s="179"/>
      <c r="AH298" s="179"/>
      <c r="AI298" s="179"/>
      <c r="AJ298" s="179"/>
      <c r="AK298" s="179"/>
      <c r="AL298" s="179"/>
      <c r="AM298" s="179"/>
      <c r="AN298" s="179"/>
      <c r="AO298" s="179">
        <f t="array" ref="AO298">SUM(IF('2014-2017 Projects'!$T$5:$T$258="Renewal-50",'2014-2017 Projects'!$CG$5:$CG$258,0))</f>
        <v>0</v>
      </c>
      <c r="AP298" s="179">
        <f t="array" ref="AP298">SUM(IF('2014-2017 Projects'!$T$5:$T$258="Renewal-50",'2014-2017 Projects'!$CH$5:$CH$258,0))</f>
        <v>0</v>
      </c>
    </row>
    <row r="299" spans="1:42" ht="13.5" x14ac:dyDescent="0.25">
      <c r="A299" s="207" t="s">
        <v>363</v>
      </c>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180"/>
      <c r="AN299" s="180"/>
      <c r="AO299" s="180"/>
      <c r="AP299" s="180"/>
    </row>
    <row r="300" spans="1:42" ht="13.5" x14ac:dyDescent="0.25">
      <c r="A300" s="207" t="s">
        <v>36</v>
      </c>
      <c r="B300" s="179" t="e">
        <f t="array" ref="B300">SUM(IF('[5]2013-2016 Projects'!$O$4:$O$202="Renewal-120",'[5]2013-2016 Projects'!$V$4:$V$202,0))</f>
        <v>#REF!</v>
      </c>
      <c r="C300" s="179" t="e">
        <f t="array" ref="C300">SUM(IF('[5]2013-2016 Projects'!$O$4:$O$202="Renewal-120",'[5]2013-2016 Projects'!$V$4:$V$202,0))</f>
        <v>#REF!</v>
      </c>
      <c r="D300" s="179" t="e">
        <f t="array" ref="D300">SUM(IF('[5]2013-2016 Projects'!$O$4:$O$202="Renewal-120",'[5]2013-2016 Projects'!$V$4:$V$202,0))</f>
        <v>#REF!</v>
      </c>
      <c r="E300" s="179" t="e">
        <f t="array" ref="E300">SUM(IF('[5]2013-2016 Projects'!$O$4:$O$202="Renewal-120",'[5]2013-2016 Projects'!$V$4:$V$202,0))</f>
        <v>#REF!</v>
      </c>
      <c r="F300" s="179" t="e">
        <f t="array" ref="F300">SUM(IF('[5]2013-2016 Projects'!$O$4:$O$202="Renewal-120",'[5]2013-2016 Projects'!$V$4:$V$202,0))</f>
        <v>#REF!</v>
      </c>
      <c r="G300" s="179"/>
      <c r="H300" s="179">
        <f t="array" ref="H300">SUM(IF('2014-2017 Projects'!$T$5:$T$258="Renewal-120",'2014-2017 Projects'!$AK$5:$AK$258,0))</f>
        <v>0</v>
      </c>
      <c r="I300" s="179"/>
      <c r="J300" s="179"/>
      <c r="K300" s="179"/>
      <c r="L300" s="179"/>
      <c r="M300" s="179"/>
      <c r="N300" s="179"/>
      <c r="O300" s="179"/>
      <c r="P300" s="179"/>
      <c r="Q300" s="179"/>
      <c r="R300" s="179"/>
      <c r="S300" s="179"/>
      <c r="T300" s="179"/>
      <c r="U300" s="179"/>
      <c r="V300" s="179"/>
      <c r="W300" s="179"/>
      <c r="X300" s="179"/>
      <c r="Y300" s="179"/>
      <c r="Z300" s="179"/>
      <c r="AA300" s="179"/>
      <c r="AB300" s="179"/>
      <c r="AC300" s="179"/>
      <c r="AD300" s="179"/>
      <c r="AE300" s="179"/>
      <c r="AF300" s="179"/>
      <c r="AG300" s="179"/>
      <c r="AH300" s="179"/>
      <c r="AI300" s="179"/>
      <c r="AJ300" s="179"/>
      <c r="AK300" s="179"/>
      <c r="AL300" s="179"/>
      <c r="AM300" s="179"/>
      <c r="AN300" s="179"/>
      <c r="AO300" s="179">
        <f t="array" ref="AO300">SUM(IF('2014-2017 Projects'!$T$5:$T$258="Renewal-120",'2014-2017 Projects'!$CG$5:$CG$258,0))</f>
        <v>0</v>
      </c>
      <c r="AP300" s="179">
        <f t="array" ref="AP300">SUM(IF('2014-2017 Projects'!$T$5:$T$258="Renewal-120",'2014-2017 Projects'!$CH$5:$CH$258,0))</f>
        <v>0</v>
      </c>
    </row>
    <row r="301" spans="1:42" ht="13.5" x14ac:dyDescent="0.25">
      <c r="A301" s="208"/>
      <c r="B301" s="175"/>
      <c r="C301" s="175"/>
      <c r="D301" s="175"/>
      <c r="E301" s="175"/>
      <c r="F301" s="175"/>
      <c r="G301" s="175"/>
      <c r="H301" s="175"/>
      <c r="I301" s="175"/>
      <c r="J301" s="175"/>
      <c r="K301" s="175"/>
      <c r="L301" s="175"/>
      <c r="M301" s="175"/>
      <c r="N301" s="175"/>
      <c r="O301" s="175"/>
      <c r="P301" s="175"/>
      <c r="Q301" s="175"/>
      <c r="R301" s="175"/>
      <c r="S301" s="175"/>
      <c r="T301" s="175"/>
      <c r="U301" s="175"/>
      <c r="V301" s="175"/>
      <c r="W301" s="175"/>
      <c r="X301" s="175"/>
      <c r="Y301" s="175"/>
      <c r="Z301" s="175"/>
      <c r="AA301" s="175"/>
      <c r="AB301" s="175"/>
      <c r="AC301" s="175"/>
      <c r="AD301" s="175"/>
      <c r="AE301" s="175"/>
      <c r="AF301" s="175"/>
      <c r="AG301" s="175"/>
      <c r="AH301" s="175"/>
      <c r="AI301" s="175"/>
      <c r="AJ301" s="175"/>
      <c r="AK301" s="175"/>
      <c r="AL301" s="175"/>
      <c r="AM301" s="175"/>
      <c r="AN301" s="175"/>
      <c r="AO301" s="175"/>
      <c r="AP301" s="175"/>
    </row>
    <row r="302" spans="1:42" ht="13.5" x14ac:dyDescent="0.25">
      <c r="A302" s="203" t="s">
        <v>2</v>
      </c>
      <c r="B302" s="184" t="e">
        <f>SUM(B303:B316)</f>
        <v>#REF!</v>
      </c>
      <c r="C302" s="184" t="e">
        <f>SUM(C303:C316)</f>
        <v>#REF!</v>
      </c>
      <c r="D302" s="184" t="e">
        <f>SUM(D303:D316)</f>
        <v>#REF!</v>
      </c>
      <c r="E302" s="184" t="e">
        <f>SUM(E303:E316)</f>
        <v>#REF!</v>
      </c>
      <c r="F302" s="184" t="e">
        <f>SUM(F303:F316)</f>
        <v>#REF!</v>
      </c>
      <c r="G302" s="184"/>
      <c r="H302" s="184">
        <f>SUM(H303:H316)</f>
        <v>28030409</v>
      </c>
      <c r="I302" s="184"/>
      <c r="J302" s="184"/>
      <c r="K302" s="184"/>
      <c r="L302" s="184"/>
      <c r="M302" s="184"/>
      <c r="N302" s="184"/>
      <c r="O302" s="184"/>
      <c r="P302" s="184"/>
      <c r="Q302" s="184"/>
      <c r="R302" s="184"/>
      <c r="S302" s="184"/>
      <c r="T302" s="184"/>
      <c r="U302" s="184"/>
      <c r="V302" s="184"/>
      <c r="W302" s="184"/>
      <c r="X302" s="184"/>
      <c r="Y302" s="184"/>
      <c r="Z302" s="184"/>
      <c r="AA302" s="184"/>
      <c r="AB302" s="184"/>
      <c r="AC302" s="184"/>
      <c r="AD302" s="184"/>
      <c r="AE302" s="184"/>
      <c r="AF302" s="184"/>
      <c r="AG302" s="184"/>
      <c r="AH302" s="184"/>
      <c r="AI302" s="184"/>
      <c r="AJ302" s="184"/>
      <c r="AK302" s="184"/>
      <c r="AL302" s="184"/>
      <c r="AM302" s="184"/>
      <c r="AN302" s="184"/>
      <c r="AO302" s="184">
        <f>SUM(AO303:AO316)</f>
        <v>21750000</v>
      </c>
      <c r="AP302" s="184">
        <f>SUM(AP303:AP316)</f>
        <v>19750000</v>
      </c>
    </row>
    <row r="303" spans="1:42" ht="13.5" x14ac:dyDescent="0.25">
      <c r="A303" s="196" t="s">
        <v>364</v>
      </c>
      <c r="B303" s="179" t="e">
        <f t="array" ref="B303">SUM(IF('[5]2013-2016 Projects'!$O$4:$O$202="Renewal-150",'[5]2013-2016 Projects'!$V$4:$V$202,0))</f>
        <v>#REF!</v>
      </c>
      <c r="C303" s="179" t="e">
        <f t="array" ref="C303">SUM(IF('[5]2013-2016 Projects'!$O$4:$O$202="Renewal-150",'[5]2013-2016 Projects'!$V$4:$V$202,0))</f>
        <v>#REF!</v>
      </c>
      <c r="D303" s="179" t="e">
        <f t="array" ref="D303">SUM(IF('[5]2013-2016 Projects'!$O$4:$O$202="Renewal-150",'[5]2013-2016 Projects'!$V$4:$V$202,0))</f>
        <v>#REF!</v>
      </c>
      <c r="E303" s="179" t="e">
        <f t="array" ref="E303">SUM(IF('[5]2013-2016 Projects'!$O$4:$O$202="Renewal-150",'[5]2013-2016 Projects'!$V$4:$V$202,0))</f>
        <v>#REF!</v>
      </c>
      <c r="F303" s="179" t="e">
        <f t="array" ref="F303">SUM(IF('[5]2013-2016 Projects'!$O$4:$O$202="Renewal-150",'[5]2013-2016 Projects'!$V$4:$V$202,0))</f>
        <v>#REF!</v>
      </c>
      <c r="G303" s="179"/>
      <c r="H303" s="179">
        <f t="array" ref="H303">SUM(IF('2014-2017 Projects'!$T$5:$T$258="Renewal-150",'2014-2017 Projects'!$AK$5:$AK$258,0))</f>
        <v>0</v>
      </c>
      <c r="I303" s="179"/>
      <c r="J303" s="179"/>
      <c r="K303" s="179"/>
      <c r="L303" s="179"/>
      <c r="M303" s="179"/>
      <c r="N303" s="179"/>
      <c r="O303" s="179"/>
      <c r="P303" s="179"/>
      <c r="Q303" s="179"/>
      <c r="R303" s="179"/>
      <c r="S303" s="179"/>
      <c r="T303" s="179"/>
      <c r="U303" s="179"/>
      <c r="V303" s="179"/>
      <c r="W303" s="179"/>
      <c r="X303" s="179"/>
      <c r="Y303" s="179"/>
      <c r="Z303" s="179"/>
      <c r="AA303" s="179"/>
      <c r="AB303" s="179"/>
      <c r="AC303" s="179"/>
      <c r="AD303" s="179"/>
      <c r="AE303" s="179"/>
      <c r="AF303" s="179"/>
      <c r="AG303" s="179"/>
      <c r="AH303" s="179"/>
      <c r="AI303" s="179"/>
      <c r="AJ303" s="179"/>
      <c r="AK303" s="179"/>
      <c r="AL303" s="179"/>
      <c r="AM303" s="179"/>
      <c r="AN303" s="179"/>
      <c r="AO303" s="179">
        <f t="array" ref="AO303">SUM(IF('2014-2017 Projects'!$T$5:$T$258="Renewal-150",'2014-2017 Projects'!$CG$5:$CG$258,0))</f>
        <v>0</v>
      </c>
      <c r="AP303" s="179">
        <f t="array" ref="AP303">SUM(IF('2014-2017 Projects'!$T$5:$T$258="Renewal-150",'2014-2017 Projects'!$CH$5:$CH$258,0))</f>
        <v>0</v>
      </c>
    </row>
    <row r="304" spans="1:42" ht="13.5" x14ac:dyDescent="0.25">
      <c r="A304" s="196" t="s">
        <v>365</v>
      </c>
      <c r="B304" s="179" t="e">
        <f t="array" ref="B304">SUM(IF('[5]2013-2016 Projects'!$O$4:$O$202="Renewal-160",'[5]2013-2016 Projects'!$V$4:$V$202,0))</f>
        <v>#REF!</v>
      </c>
      <c r="C304" s="179" t="e">
        <f t="array" ref="C304">SUM(IF('[5]2013-2016 Projects'!$O$4:$O$202="Renewal-160",'[5]2013-2016 Projects'!$V$4:$V$202,0))</f>
        <v>#REF!</v>
      </c>
      <c r="D304" s="179" t="e">
        <f t="array" ref="D304">SUM(IF('[5]2013-2016 Projects'!$O$4:$O$202="Renewal-160",'[5]2013-2016 Projects'!$V$4:$V$202,0))</f>
        <v>#REF!</v>
      </c>
      <c r="E304" s="179" t="e">
        <f t="array" ref="E304">SUM(IF('[5]2013-2016 Projects'!$O$4:$O$202="Renewal-160",'[5]2013-2016 Projects'!$V$4:$V$202,0))</f>
        <v>#REF!</v>
      </c>
      <c r="F304" s="179" t="e">
        <f t="array" ref="F304">SUM(IF('[5]2013-2016 Projects'!$O$4:$O$202="Renewal-160",'[5]2013-2016 Projects'!$V$4:$V$202,0))</f>
        <v>#REF!</v>
      </c>
      <c r="G304" s="179"/>
      <c r="H304" s="179">
        <f t="array" ref="H304">SUM(IF('2014-2017 Projects'!$T$5:$T$258="Renewal-160",'2014-2017 Projects'!$AK$5:$AK$258,0))</f>
        <v>24791907</v>
      </c>
      <c r="I304" s="179"/>
      <c r="J304" s="179"/>
      <c r="K304" s="179"/>
      <c r="L304" s="179"/>
      <c r="M304" s="179"/>
      <c r="N304" s="179"/>
      <c r="O304" s="179"/>
      <c r="P304" s="179"/>
      <c r="Q304" s="179"/>
      <c r="R304" s="179"/>
      <c r="S304" s="179"/>
      <c r="T304" s="179"/>
      <c r="U304" s="179"/>
      <c r="V304" s="179"/>
      <c r="W304" s="179"/>
      <c r="X304" s="179"/>
      <c r="Y304" s="179"/>
      <c r="Z304" s="179"/>
      <c r="AA304" s="179"/>
      <c r="AB304" s="179"/>
      <c r="AC304" s="179"/>
      <c r="AD304" s="179"/>
      <c r="AE304" s="179"/>
      <c r="AF304" s="179"/>
      <c r="AG304" s="179"/>
      <c r="AH304" s="179"/>
      <c r="AI304" s="179"/>
      <c r="AJ304" s="179"/>
      <c r="AK304" s="179"/>
      <c r="AL304" s="179"/>
      <c r="AM304" s="179"/>
      <c r="AN304" s="179"/>
      <c r="AO304" s="179">
        <f t="array" ref="AO304">SUM(IF('2014-2017 Projects'!$T$5:$T$258="Renewal-160",'2014-2017 Projects'!$CG$5:$CG$258,0))</f>
        <v>13750000</v>
      </c>
      <c r="AP304" s="179">
        <f t="array" ref="AP304">SUM(IF('2014-2017 Projects'!$T$5:$T$258="Renewal-160",'2014-2017 Projects'!$CH$5:$CH$258,0))</f>
        <v>9750000</v>
      </c>
    </row>
    <row r="305" spans="1:42" ht="13.5" x14ac:dyDescent="0.25">
      <c r="A305" s="196" t="s">
        <v>366</v>
      </c>
      <c r="B305" s="179" t="e">
        <f t="array" ref="B305">SUM(IF('[5]2013-2016 Projects'!$O$4:$O$202="Renewal-199",'[5]2013-2016 Projects'!$V$4:$V$202,0))</f>
        <v>#REF!</v>
      </c>
      <c r="C305" s="179" t="e">
        <f t="array" ref="C305">SUM(IF('[5]2013-2016 Projects'!$O$4:$O$202="Renewal-199",'[5]2013-2016 Projects'!$V$4:$V$202,0))</f>
        <v>#REF!</v>
      </c>
      <c r="D305" s="179" t="e">
        <f t="array" ref="D305">SUM(IF('[5]2013-2016 Projects'!$O$4:$O$202="Renewal-199",'[5]2013-2016 Projects'!$V$4:$V$202,0))</f>
        <v>#REF!</v>
      </c>
      <c r="E305" s="179" t="e">
        <f t="array" ref="E305">SUM(IF('[5]2013-2016 Projects'!$O$4:$O$202="Renewal-199",'[5]2013-2016 Projects'!$V$4:$V$202,0))</f>
        <v>#REF!</v>
      </c>
      <c r="F305" s="179" t="e">
        <f t="array" ref="F305">SUM(IF('[5]2013-2016 Projects'!$O$4:$O$202="Renewal-199",'[5]2013-2016 Projects'!$V$4:$V$202,0))</f>
        <v>#REF!</v>
      </c>
      <c r="G305" s="179"/>
      <c r="H305" s="179">
        <f t="array" ref="H305">SUM(IF('2014-2017 Projects'!$T$5:$T$258="Renewal-199",'2014-2017 Projects'!$AK$5:$AK$258,0))</f>
        <v>0</v>
      </c>
      <c r="I305" s="179"/>
      <c r="J305" s="179"/>
      <c r="K305" s="179"/>
      <c r="L305" s="179"/>
      <c r="M305" s="179"/>
      <c r="N305" s="179"/>
      <c r="O305" s="179"/>
      <c r="P305" s="179"/>
      <c r="Q305" s="179"/>
      <c r="R305" s="179"/>
      <c r="S305" s="179"/>
      <c r="T305" s="179"/>
      <c r="U305" s="179"/>
      <c r="V305" s="179"/>
      <c r="W305" s="179"/>
      <c r="X305" s="179"/>
      <c r="Y305" s="179"/>
      <c r="Z305" s="179"/>
      <c r="AA305" s="179"/>
      <c r="AB305" s="179"/>
      <c r="AC305" s="179"/>
      <c r="AD305" s="179"/>
      <c r="AE305" s="179"/>
      <c r="AF305" s="179"/>
      <c r="AG305" s="179"/>
      <c r="AH305" s="179"/>
      <c r="AI305" s="179"/>
      <c r="AJ305" s="179"/>
      <c r="AK305" s="179"/>
      <c r="AL305" s="179"/>
      <c r="AM305" s="179"/>
      <c r="AN305" s="179"/>
      <c r="AO305" s="179">
        <f t="array" ref="AO305">SUM(IF('2014-2017 Projects'!$T$5:$T$258="Renewal-199",'2014-2017 Projects'!$CG$5:$CG$258,0))</f>
        <v>0</v>
      </c>
      <c r="AP305" s="179">
        <f t="array" ref="AP305">SUM(IF('2014-2017 Projects'!$T$5:$T$258="Renewal-199",'2014-2017 Projects'!$CH$5:$CH$258,0))</f>
        <v>0</v>
      </c>
    </row>
    <row r="306" spans="1:42" ht="13.5" x14ac:dyDescent="0.25">
      <c r="A306" s="196" t="s">
        <v>367</v>
      </c>
      <c r="B306" s="179" t="e">
        <f t="array" ref="B306">SUM(IF('[5]2013-2016 Projects'!$O$4:$O$202="Renewal-170",'[5]2013-2016 Projects'!$V$4:$V$202,0))</f>
        <v>#REF!</v>
      </c>
      <c r="C306" s="179" t="e">
        <f t="array" ref="C306">SUM(IF('[5]2013-2016 Projects'!$O$4:$O$202="Renewal-170",'[5]2013-2016 Projects'!$V$4:$V$202,0))</f>
        <v>#REF!</v>
      </c>
      <c r="D306" s="179" t="e">
        <f t="array" ref="D306">SUM(IF('[5]2013-2016 Projects'!$O$4:$O$202="Renewal-170",'[5]2013-2016 Projects'!$V$4:$V$202,0))</f>
        <v>#REF!</v>
      </c>
      <c r="E306" s="179" t="e">
        <f t="array" ref="E306">SUM(IF('[5]2013-2016 Projects'!$O$4:$O$202="Renewal-170",'[5]2013-2016 Projects'!$V$4:$V$202,0))</f>
        <v>#REF!</v>
      </c>
      <c r="F306" s="179" t="e">
        <f t="array" ref="F306">SUM(IF('[5]2013-2016 Projects'!$O$4:$O$202="Renewal-170",'[5]2013-2016 Projects'!$V$4:$V$202,0))</f>
        <v>#REF!</v>
      </c>
      <c r="G306" s="179"/>
      <c r="H306" s="179">
        <f t="array" ref="H306">SUM(IF('2014-2017 Projects'!$T$5:$T$258="Renewal-170",'2014-2017 Projects'!$AK$5:$AK$258,0))</f>
        <v>0</v>
      </c>
      <c r="I306" s="179"/>
      <c r="J306" s="179"/>
      <c r="K306" s="179"/>
      <c r="L306" s="179"/>
      <c r="M306" s="179"/>
      <c r="N306" s="179"/>
      <c r="O306" s="179"/>
      <c r="P306" s="179"/>
      <c r="Q306" s="179"/>
      <c r="R306" s="179"/>
      <c r="S306" s="179"/>
      <c r="T306" s="179"/>
      <c r="U306" s="179"/>
      <c r="V306" s="179"/>
      <c r="W306" s="179"/>
      <c r="X306" s="179"/>
      <c r="Y306" s="179"/>
      <c r="Z306" s="179"/>
      <c r="AA306" s="179"/>
      <c r="AB306" s="179"/>
      <c r="AC306" s="179"/>
      <c r="AD306" s="179"/>
      <c r="AE306" s="179"/>
      <c r="AF306" s="179"/>
      <c r="AG306" s="179"/>
      <c r="AH306" s="179"/>
      <c r="AI306" s="179"/>
      <c r="AJ306" s="179"/>
      <c r="AK306" s="179"/>
      <c r="AL306" s="179"/>
      <c r="AM306" s="179"/>
      <c r="AN306" s="179"/>
      <c r="AO306" s="179">
        <f t="array" ref="AO306">SUM(IF('2014-2017 Projects'!$T$5:$T$258="Renewal-170",'2014-2017 Projects'!$CG$5:$CG$258,0))</f>
        <v>0</v>
      </c>
      <c r="AP306" s="179">
        <f t="array" ref="AP306">SUM(IF('2014-2017 Projects'!$T$5:$T$258="Renewal-170",'2014-2017 Projects'!$CH$5:$CH$258,0))</f>
        <v>0</v>
      </c>
    </row>
    <row r="307" spans="1:42" ht="13.5" x14ac:dyDescent="0.25">
      <c r="A307" s="196" t="s">
        <v>3</v>
      </c>
      <c r="B307" s="179" t="e">
        <f t="array" ref="B307">SUM(IF('[5]2013-2016 Projects'!$O$4:$O$202="Renewal-180",'[5]2013-2016 Projects'!$V$4:$V$202,0))</f>
        <v>#REF!</v>
      </c>
      <c r="C307" s="179" t="e">
        <f t="array" ref="C307">SUM(IF('[5]2013-2016 Projects'!$O$4:$O$202="Renewal-180",'[5]2013-2016 Projects'!$V$4:$V$202,0))</f>
        <v>#REF!</v>
      </c>
      <c r="D307" s="179" t="e">
        <f t="array" ref="D307">SUM(IF('[5]2013-2016 Projects'!$O$4:$O$202="Renewal-180",'[5]2013-2016 Projects'!$V$4:$V$202,0))</f>
        <v>#REF!</v>
      </c>
      <c r="E307" s="179" t="e">
        <f t="array" ref="E307">SUM(IF('[5]2013-2016 Projects'!$O$4:$O$202="Renewal-180",'[5]2013-2016 Projects'!$V$4:$V$202,0))</f>
        <v>#REF!</v>
      </c>
      <c r="F307" s="179" t="e">
        <f t="array" ref="F307">SUM(IF('[5]2013-2016 Projects'!$O$4:$O$202="Renewal-180",'[5]2013-2016 Projects'!$V$4:$V$202,0))</f>
        <v>#REF!</v>
      </c>
      <c r="G307" s="179"/>
      <c r="H307" s="179">
        <f t="array" ref="H307">SUM(IF('2014-2017 Projects'!$T$5:$T$258="Renewal-180",'2014-2017 Projects'!$AK$5:$AK$258,0))</f>
        <v>0</v>
      </c>
      <c r="I307" s="179"/>
      <c r="J307" s="179"/>
      <c r="K307" s="179"/>
      <c r="L307" s="179"/>
      <c r="M307" s="179"/>
      <c r="N307" s="179"/>
      <c r="O307" s="179"/>
      <c r="P307" s="179"/>
      <c r="Q307" s="179"/>
      <c r="R307" s="179"/>
      <c r="S307" s="179"/>
      <c r="T307" s="179"/>
      <c r="U307" s="179"/>
      <c r="V307" s="179"/>
      <c r="W307" s="179"/>
      <c r="X307" s="179"/>
      <c r="Y307" s="179"/>
      <c r="Z307" s="179"/>
      <c r="AA307" s="179"/>
      <c r="AB307" s="179"/>
      <c r="AC307" s="179"/>
      <c r="AD307" s="179"/>
      <c r="AE307" s="179"/>
      <c r="AF307" s="179"/>
      <c r="AG307" s="179"/>
      <c r="AH307" s="179"/>
      <c r="AI307" s="179"/>
      <c r="AJ307" s="179"/>
      <c r="AK307" s="179"/>
      <c r="AL307" s="179"/>
      <c r="AM307" s="179"/>
      <c r="AN307" s="179"/>
      <c r="AO307" s="179">
        <f t="array" ref="AO307">SUM(IF('2014-2017 Projects'!$T$5:$T$258="Renewal-180",'2014-2017 Projects'!$CG$5:$CG$258,0))</f>
        <v>0</v>
      </c>
      <c r="AP307" s="179">
        <f t="array" ref="AP307">SUM(IF('2014-2017 Projects'!$T$5:$T$258="Renewal-180",'2014-2017 Projects'!$CH$5:$CH$258,0))</f>
        <v>0</v>
      </c>
    </row>
    <row r="308" spans="1:42" ht="13.5" x14ac:dyDescent="0.25">
      <c r="A308" s="196" t="s">
        <v>368</v>
      </c>
      <c r="B308" s="179" t="e">
        <f t="array" ref="B308">SUM(IF('[5]2013-2016 Projects'!$O$4:$O$202="Renewal-190",'[5]2013-2016 Projects'!$V$4:$V$202,0))</f>
        <v>#REF!</v>
      </c>
      <c r="C308" s="179" t="e">
        <f t="array" ref="C308">SUM(IF('[5]2013-2016 Projects'!$O$4:$O$202="Renewal-190",'[5]2013-2016 Projects'!$V$4:$V$202,0))</f>
        <v>#REF!</v>
      </c>
      <c r="D308" s="179" t="e">
        <f t="array" ref="D308">SUM(IF('[5]2013-2016 Projects'!$O$4:$O$202="Renewal-190",'[5]2013-2016 Projects'!$V$4:$V$202,0))</f>
        <v>#REF!</v>
      </c>
      <c r="E308" s="179" t="e">
        <f t="array" ref="E308">SUM(IF('[5]2013-2016 Projects'!$O$4:$O$202="Renewal-190",'[5]2013-2016 Projects'!$V$4:$V$202,0))</f>
        <v>#REF!</v>
      </c>
      <c r="F308" s="179" t="e">
        <f t="array" ref="F308">SUM(IF('[5]2013-2016 Projects'!$O$4:$O$202="Renewal-190",'[5]2013-2016 Projects'!$V$4:$V$202,0))</f>
        <v>#REF!</v>
      </c>
      <c r="G308" s="179"/>
      <c r="H308" s="179">
        <f t="array" ref="H308">SUM(IF('2014-2017 Projects'!$T$5:$T$258="Renewal-190",'2014-2017 Projects'!$AK$5:$AK$258,0))</f>
        <v>3238502</v>
      </c>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f t="array" ref="AO308">SUM(IF('2014-2017 Projects'!$T$5:$T$258="Renewal-190",'2014-2017 Projects'!$CG$5:$CG$258,0))</f>
        <v>8000000</v>
      </c>
      <c r="AP308" s="179">
        <f t="array" ref="AP308">SUM(IF('2014-2017 Projects'!$T$5:$T$258="Renewal-190",'2014-2017 Projects'!$CH$5:$CH$258,0))</f>
        <v>10000000</v>
      </c>
    </row>
    <row r="309" spans="1:42" ht="13.5" x14ac:dyDescent="0.25">
      <c r="A309" s="196" t="s">
        <v>369</v>
      </c>
      <c r="B309" s="179"/>
      <c r="C309" s="179"/>
      <c r="D309" s="179"/>
      <c r="E309" s="179"/>
      <c r="F309" s="179"/>
      <c r="G309" s="179"/>
      <c r="H309" s="179"/>
      <c r="I309" s="179"/>
      <c r="J309" s="179"/>
      <c r="K309" s="179"/>
      <c r="L309" s="179"/>
      <c r="M309" s="179"/>
      <c r="N309" s="179"/>
      <c r="O309" s="179"/>
      <c r="P309" s="179"/>
      <c r="Q309" s="179"/>
      <c r="R309" s="179"/>
      <c r="S309" s="179"/>
      <c r="T309" s="179"/>
      <c r="U309" s="179"/>
      <c r="V309" s="179"/>
      <c r="W309" s="179"/>
      <c r="X309" s="179"/>
      <c r="Y309" s="179"/>
      <c r="Z309" s="179"/>
      <c r="AA309" s="179"/>
      <c r="AB309" s="179"/>
      <c r="AC309" s="179"/>
      <c r="AD309" s="179"/>
      <c r="AE309" s="179"/>
      <c r="AF309" s="179"/>
      <c r="AG309" s="179"/>
      <c r="AH309" s="179"/>
      <c r="AI309" s="179"/>
      <c r="AJ309" s="179"/>
      <c r="AK309" s="179"/>
      <c r="AL309" s="179"/>
      <c r="AM309" s="179"/>
      <c r="AN309" s="179"/>
      <c r="AO309" s="179"/>
      <c r="AP309" s="179"/>
    </row>
    <row r="310" spans="1:42" ht="13.5" x14ac:dyDescent="0.25">
      <c r="A310" s="196" t="s">
        <v>370</v>
      </c>
      <c r="B310" s="180"/>
      <c r="C310" s="180"/>
      <c r="D310" s="180"/>
      <c r="E310" s="180"/>
      <c r="F310" s="180"/>
      <c r="G310" s="180"/>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row>
    <row r="311" spans="1:42" ht="13.5" x14ac:dyDescent="0.25">
      <c r="A311" s="196" t="s">
        <v>371</v>
      </c>
      <c r="B311" s="180"/>
      <c r="C311" s="180"/>
      <c r="D311" s="180"/>
      <c r="E311" s="180"/>
      <c r="F311" s="180"/>
      <c r="G311" s="180"/>
      <c r="H311" s="179">
        <f t="array" ref="H311">SUM(IF('2014-2017 Projects'!$T$5:$T$258="Renewal-390",'2014-2017 Projects'!$AK$5:$AK$258,0))</f>
        <v>0</v>
      </c>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f t="array" ref="AO311">SUM(IF('2014-2017 Projects'!$T$5:$T$258="Renewal-390",'2014-2017 Projects'!$CG$5:$CG$258,0))</f>
        <v>0</v>
      </c>
      <c r="AP311" s="179">
        <f t="array" ref="AP311">SUM(IF('2014-2017 Projects'!$T$5:$T$258="Renewal-390",'2014-2017 Projects'!$CH$5:$CH$258,0))</f>
        <v>0</v>
      </c>
    </row>
    <row r="312" spans="1:42" ht="13.5" x14ac:dyDescent="0.25">
      <c r="A312" s="196" t="s">
        <v>372</v>
      </c>
      <c r="B312" s="179" t="e">
        <f t="array" ref="B312">SUM(IF('[5]2013-2016 Projects'!$O$4:$O$202="Renewal-200",'[5]2013-2016 Projects'!$V$4:$V$202,0))</f>
        <v>#REF!</v>
      </c>
      <c r="C312" s="179" t="e">
        <f t="array" ref="C312">SUM(IF('[5]2013-2016 Projects'!$O$4:$O$202="Renewal-200",'[5]2013-2016 Projects'!$V$4:$V$202,0))</f>
        <v>#REF!</v>
      </c>
      <c r="D312" s="179" t="e">
        <f t="array" ref="D312">SUM(IF('[5]2013-2016 Projects'!$O$4:$O$202="Renewal-200",'[5]2013-2016 Projects'!$V$4:$V$202,0))</f>
        <v>#REF!</v>
      </c>
      <c r="E312" s="179" t="e">
        <f t="array" ref="E312">SUM(IF('[5]2013-2016 Projects'!$O$4:$O$202="Renewal-200",'[5]2013-2016 Projects'!$V$4:$V$202,0))</f>
        <v>#REF!</v>
      </c>
      <c r="F312" s="179" t="e">
        <f t="array" ref="F312">SUM(IF('[5]2013-2016 Projects'!$O$4:$O$202="Renewal-200",'[5]2013-2016 Projects'!$V$4:$V$202,0))</f>
        <v>#REF!</v>
      </c>
      <c r="G312" s="179"/>
      <c r="H312" s="179">
        <f t="array" ref="H312">SUM(IF('2014-2017 Projects'!$T$5:$T$258="Renewal-200",'2014-2017 Projects'!$AK$5:$AK$258,0))</f>
        <v>0</v>
      </c>
      <c r="I312" s="179"/>
      <c r="J312" s="179"/>
      <c r="K312" s="179"/>
      <c r="L312" s="179"/>
      <c r="M312" s="179"/>
      <c r="N312" s="179"/>
      <c r="O312" s="179"/>
      <c r="P312" s="179"/>
      <c r="Q312" s="179"/>
      <c r="R312" s="179"/>
      <c r="S312" s="179"/>
      <c r="T312" s="179"/>
      <c r="U312" s="179"/>
      <c r="V312" s="179"/>
      <c r="W312" s="179"/>
      <c r="X312" s="179"/>
      <c r="Y312" s="179"/>
      <c r="Z312" s="179"/>
      <c r="AA312" s="179"/>
      <c r="AB312" s="179"/>
      <c r="AC312" s="179"/>
      <c r="AD312" s="179"/>
      <c r="AE312" s="179"/>
      <c r="AF312" s="179"/>
      <c r="AG312" s="179"/>
      <c r="AH312" s="179"/>
      <c r="AI312" s="179"/>
      <c r="AJ312" s="179"/>
      <c r="AK312" s="179"/>
      <c r="AL312" s="179"/>
      <c r="AM312" s="179"/>
      <c r="AN312" s="179"/>
      <c r="AO312" s="179">
        <f t="array" ref="AO312">SUM(IF('2014-2017 Projects'!$T$5:$T$258="Renewal-200",'2014-2017 Projects'!$CG$5:$CG$258,0))</f>
        <v>0</v>
      </c>
      <c r="AP312" s="179">
        <f t="array" ref="AP312">SUM(IF('2014-2017 Projects'!$T$5:$T$258="Renewal-200",'2014-2017 Projects'!$CH$5:$CH$258,0))</f>
        <v>0</v>
      </c>
    </row>
    <row r="313" spans="1:42" ht="13.5" x14ac:dyDescent="0.25">
      <c r="A313" s="196" t="s">
        <v>373</v>
      </c>
      <c r="B313" s="179" t="e">
        <f t="array" ref="B313">SUM(IF('[5]2013-2016 Projects'!$O$4:$O$202="Renewal-210",'[5]2013-2016 Projects'!$V$4:$V$202,0))</f>
        <v>#REF!</v>
      </c>
      <c r="C313" s="179" t="e">
        <f t="array" ref="C313">SUM(IF('[5]2013-2016 Projects'!$O$4:$O$202="Renewal-210",'[5]2013-2016 Projects'!$V$4:$V$202,0))</f>
        <v>#REF!</v>
      </c>
      <c r="D313" s="179" t="e">
        <f t="array" ref="D313">SUM(IF('[5]2013-2016 Projects'!$O$4:$O$202="Renewal-210",'[5]2013-2016 Projects'!$V$4:$V$202,0))</f>
        <v>#REF!</v>
      </c>
      <c r="E313" s="179" t="e">
        <f t="array" ref="E313">SUM(IF('[5]2013-2016 Projects'!$O$4:$O$202="Renewal-210",'[5]2013-2016 Projects'!$V$4:$V$202,0))</f>
        <v>#REF!</v>
      </c>
      <c r="F313" s="179" t="e">
        <f t="array" ref="F313">SUM(IF('[5]2013-2016 Projects'!$O$4:$O$202="Renewal-210",'[5]2013-2016 Projects'!$V$4:$V$202,0))</f>
        <v>#REF!</v>
      </c>
      <c r="G313" s="179"/>
      <c r="H313" s="180"/>
      <c r="I313" s="180"/>
      <c r="J313" s="180"/>
      <c r="K313" s="180"/>
      <c r="L313" s="180"/>
      <c r="M313" s="180"/>
      <c r="N313" s="180"/>
      <c r="O313" s="180"/>
      <c r="P313" s="180"/>
      <c r="Q313" s="180"/>
      <c r="R313" s="180"/>
      <c r="S313" s="180"/>
      <c r="T313" s="180"/>
      <c r="U313" s="180"/>
      <c r="V313" s="180"/>
      <c r="W313" s="180"/>
      <c r="X313" s="180"/>
      <c r="Y313" s="180"/>
      <c r="Z313" s="180"/>
      <c r="AA313" s="180"/>
      <c r="AB313" s="180"/>
      <c r="AC313" s="180"/>
      <c r="AD313" s="180"/>
      <c r="AE313" s="180"/>
      <c r="AF313" s="180"/>
      <c r="AG313" s="180"/>
      <c r="AH313" s="180"/>
      <c r="AI313" s="180"/>
      <c r="AJ313" s="180"/>
      <c r="AK313" s="180"/>
      <c r="AL313" s="180"/>
      <c r="AM313" s="180"/>
      <c r="AN313" s="180"/>
      <c r="AO313" s="180"/>
      <c r="AP313" s="180"/>
    </row>
    <row r="314" spans="1:42" ht="13.5" x14ac:dyDescent="0.25">
      <c r="A314" s="196" t="s">
        <v>4</v>
      </c>
      <c r="B314" s="179">
        <v>0</v>
      </c>
      <c r="C314" s="179">
        <v>0</v>
      </c>
      <c r="D314" s="179">
        <v>0</v>
      </c>
      <c r="E314" s="179">
        <v>0</v>
      </c>
      <c r="F314" s="179">
        <v>0</v>
      </c>
      <c r="G314" s="179"/>
      <c r="H314" s="179">
        <f t="array" ref="H314">SUM(IF('2014-2017 Projects'!$T$5:$T$258="Renewal-220",'2014-2017 Projects'!$AK$5:$AK$258,0))</f>
        <v>0</v>
      </c>
      <c r="I314" s="179"/>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f t="array" ref="AO314">SUM(IF('2014-2017 Projects'!$T$5:$T$258="Renewal-220",'2014-2017 Projects'!$CG$5:$CG$258,0))</f>
        <v>0</v>
      </c>
      <c r="AP314" s="179">
        <f t="array" ref="AP314">SUM(IF('2014-2017 Projects'!$T$5:$T$258="Renewal-220",'2014-2017 Projects'!$CH$5:$CH$258,0))</f>
        <v>0</v>
      </c>
    </row>
    <row r="315" spans="1:42" ht="13.5" x14ac:dyDescent="0.25">
      <c r="A315" s="196" t="s">
        <v>374</v>
      </c>
      <c r="B315" s="180"/>
      <c r="C315" s="180"/>
      <c r="D315" s="180"/>
      <c r="E315" s="180"/>
      <c r="F315" s="180"/>
      <c r="G315" s="180"/>
      <c r="H315" s="180"/>
      <c r="I315" s="180"/>
      <c r="J315" s="180"/>
      <c r="K315" s="180"/>
      <c r="L315" s="180"/>
      <c r="M315" s="180"/>
      <c r="N315" s="180"/>
      <c r="O315" s="180"/>
      <c r="P315" s="180"/>
      <c r="Q315" s="180"/>
      <c r="R315" s="180"/>
      <c r="S315" s="180"/>
      <c r="T315" s="180"/>
      <c r="U315" s="180"/>
      <c r="V315" s="180"/>
      <c r="W315" s="180"/>
      <c r="X315" s="180"/>
      <c r="Y315" s="180"/>
      <c r="Z315" s="180"/>
      <c r="AA315" s="180"/>
      <c r="AB315" s="180"/>
      <c r="AC315" s="180"/>
      <c r="AD315" s="180"/>
      <c r="AE315" s="180"/>
      <c r="AF315" s="180"/>
      <c r="AG315" s="180"/>
      <c r="AH315" s="180"/>
      <c r="AI315" s="180"/>
      <c r="AJ315" s="180"/>
      <c r="AK315" s="180"/>
      <c r="AL315" s="180"/>
      <c r="AM315" s="180"/>
      <c r="AN315" s="180"/>
      <c r="AO315" s="180"/>
      <c r="AP315" s="180"/>
    </row>
    <row r="316" spans="1:42" ht="13.5" x14ac:dyDescent="0.25">
      <c r="A316" s="196" t="s">
        <v>36</v>
      </c>
      <c r="B316" s="179" t="e">
        <f t="array" ref="B316">SUM(IF('[5]2013-2016 Projects'!$O$4:$O$202="Renewal-220",'[5]2013-2016 Projects'!$V$4:$V$202,0))</f>
        <v>#REF!</v>
      </c>
      <c r="C316" s="179" t="e">
        <f t="array" ref="C316">SUM(IF('[5]2013-2016 Projects'!$O$4:$O$202="Renewal-220",'[5]2013-2016 Projects'!$V$4:$V$202,0))</f>
        <v>#REF!</v>
      </c>
      <c r="D316" s="179" t="e">
        <f t="array" ref="D316">SUM(IF('[5]2013-2016 Projects'!$O$4:$O$202="Renewal-220",'[5]2013-2016 Projects'!$V$4:$V$202,0))</f>
        <v>#REF!</v>
      </c>
      <c r="E316" s="179" t="e">
        <f t="array" ref="E316">SUM(IF('[5]2013-2016 Projects'!$O$4:$O$202="Renewal-220",'[5]2013-2016 Projects'!$V$4:$V$202,0))</f>
        <v>#REF!</v>
      </c>
      <c r="F316" s="179" t="e">
        <f t="array" ref="F316">SUM(IF('[5]2013-2016 Projects'!$O$4:$O$202="Renewal-220",'[5]2013-2016 Projects'!$V$4:$V$202,0))</f>
        <v>#REF!</v>
      </c>
      <c r="G316" s="179"/>
      <c r="H316" s="209"/>
      <c r="I316" s="209"/>
      <c r="J316" s="209"/>
      <c r="K316" s="209"/>
      <c r="L316" s="209"/>
      <c r="M316" s="209"/>
      <c r="N316" s="209"/>
      <c r="O316" s="209"/>
      <c r="P316" s="209"/>
      <c r="Q316" s="209"/>
      <c r="R316" s="209"/>
      <c r="S316" s="209"/>
      <c r="T316" s="209"/>
      <c r="U316" s="209"/>
      <c r="V316" s="209"/>
      <c r="W316" s="209"/>
      <c r="X316" s="209"/>
      <c r="Y316" s="209"/>
      <c r="Z316" s="209"/>
      <c r="AA316" s="209"/>
      <c r="AB316" s="209"/>
      <c r="AC316" s="209"/>
      <c r="AD316" s="209"/>
      <c r="AE316" s="209"/>
      <c r="AF316" s="209"/>
      <c r="AG316" s="209"/>
      <c r="AH316" s="209"/>
      <c r="AI316" s="209"/>
      <c r="AJ316" s="209"/>
      <c r="AK316" s="209"/>
      <c r="AL316" s="209"/>
      <c r="AM316" s="209"/>
      <c r="AN316" s="209"/>
      <c r="AO316" s="209"/>
      <c r="AP316" s="209"/>
    </row>
    <row r="317" spans="1:42" ht="13.5" x14ac:dyDescent="0.25">
      <c r="A317" s="208"/>
      <c r="B317" s="175"/>
      <c r="C317" s="175"/>
      <c r="D317" s="175"/>
      <c r="E317" s="175"/>
      <c r="F317" s="175"/>
      <c r="G317" s="175"/>
      <c r="H317" s="175"/>
      <c r="I317" s="175"/>
      <c r="J317" s="175"/>
      <c r="K317" s="175"/>
      <c r="L317" s="175"/>
      <c r="M317" s="175"/>
      <c r="N317" s="175"/>
      <c r="O317" s="175"/>
      <c r="P317" s="175"/>
      <c r="Q317" s="175"/>
      <c r="R317" s="175"/>
      <c r="S317" s="175"/>
      <c r="T317" s="175"/>
      <c r="U317" s="175"/>
      <c r="V317" s="175"/>
      <c r="W317" s="175"/>
      <c r="X317" s="175"/>
      <c r="Y317" s="175"/>
      <c r="Z317" s="175"/>
      <c r="AA317" s="175"/>
      <c r="AB317" s="175"/>
      <c r="AC317" s="175"/>
      <c r="AD317" s="175"/>
      <c r="AE317" s="175"/>
      <c r="AF317" s="175"/>
      <c r="AG317" s="175"/>
      <c r="AH317" s="175"/>
      <c r="AI317" s="175"/>
      <c r="AJ317" s="175"/>
      <c r="AK317" s="175"/>
      <c r="AL317" s="175"/>
      <c r="AM317" s="175"/>
      <c r="AN317" s="175"/>
      <c r="AO317" s="175"/>
      <c r="AP317" s="175"/>
    </row>
    <row r="318" spans="1:42" ht="13.5" x14ac:dyDescent="0.25">
      <c r="A318" s="203" t="s">
        <v>342</v>
      </c>
      <c r="B318" s="175">
        <f>SUM(B319:B320)</f>
        <v>0</v>
      </c>
      <c r="C318" s="175">
        <f>SUM(C319:C320)</f>
        <v>0</v>
      </c>
      <c r="D318" s="175">
        <f>SUM(D319:D320)</f>
        <v>0</v>
      </c>
      <c r="E318" s="175">
        <f>SUM(E319:E320)</f>
        <v>0</v>
      </c>
      <c r="F318" s="175">
        <f>SUM(F319:F320)</f>
        <v>0</v>
      </c>
      <c r="G318" s="175"/>
      <c r="H318" s="175">
        <f>SUM(H319:H320)</f>
        <v>0</v>
      </c>
      <c r="I318" s="175"/>
      <c r="J318" s="175"/>
      <c r="K318" s="175"/>
      <c r="L318" s="175"/>
      <c r="M318" s="175"/>
      <c r="N318" s="175"/>
      <c r="O318" s="175"/>
      <c r="P318" s="175"/>
      <c r="Q318" s="175"/>
      <c r="R318" s="175"/>
      <c r="S318" s="175"/>
      <c r="T318" s="175"/>
      <c r="U318" s="175"/>
      <c r="V318" s="175"/>
      <c r="W318" s="175"/>
      <c r="X318" s="175"/>
      <c r="Y318" s="175"/>
      <c r="Z318" s="175"/>
      <c r="AA318" s="175"/>
      <c r="AB318" s="175"/>
      <c r="AC318" s="175"/>
      <c r="AD318" s="175"/>
      <c r="AE318" s="175"/>
      <c r="AF318" s="175"/>
      <c r="AG318" s="175"/>
      <c r="AH318" s="175"/>
      <c r="AI318" s="175"/>
      <c r="AJ318" s="175"/>
      <c r="AK318" s="175"/>
      <c r="AL318" s="175"/>
      <c r="AM318" s="175"/>
      <c r="AN318" s="175"/>
      <c r="AO318" s="175">
        <f>SUM(AO319:AO320)</f>
        <v>0</v>
      </c>
      <c r="AP318" s="175">
        <f>SUM(AP319:AP320)</f>
        <v>0</v>
      </c>
    </row>
    <row r="319" spans="1:42" ht="13.5" x14ac:dyDescent="0.25">
      <c r="A319" s="196" t="s">
        <v>375</v>
      </c>
      <c r="B319" s="210"/>
      <c r="C319" s="210"/>
      <c r="D319" s="210"/>
      <c r="E319" s="210"/>
      <c r="F319" s="210"/>
      <c r="G319" s="210"/>
      <c r="H319" s="210"/>
      <c r="I319" s="210"/>
      <c r="J319" s="210"/>
      <c r="K319" s="210"/>
      <c r="L319" s="210"/>
      <c r="M319" s="210"/>
      <c r="N319" s="210"/>
      <c r="O319" s="210"/>
      <c r="P319" s="210"/>
      <c r="Q319" s="210"/>
      <c r="R319" s="210"/>
      <c r="S319" s="210"/>
      <c r="T319" s="210"/>
      <c r="U319" s="210"/>
      <c r="V319" s="210"/>
      <c r="W319" s="210"/>
      <c r="X319" s="210"/>
      <c r="Y319" s="210"/>
      <c r="Z319" s="210"/>
      <c r="AA319" s="210"/>
      <c r="AB319" s="210"/>
      <c r="AC319" s="210"/>
      <c r="AD319" s="210"/>
      <c r="AE319" s="210"/>
      <c r="AF319" s="210"/>
      <c r="AG319" s="210"/>
      <c r="AH319" s="210"/>
      <c r="AI319" s="210"/>
      <c r="AJ319" s="210"/>
      <c r="AK319" s="210"/>
      <c r="AL319" s="210"/>
      <c r="AM319" s="210"/>
      <c r="AN319" s="210"/>
      <c r="AO319" s="210"/>
      <c r="AP319" s="210"/>
    </row>
    <row r="320" spans="1:42" ht="13.5" x14ac:dyDescent="0.25">
      <c r="A320" s="195" t="s">
        <v>36</v>
      </c>
      <c r="B320" s="211"/>
      <c r="C320" s="211"/>
      <c r="D320" s="211"/>
      <c r="E320" s="211"/>
      <c r="F320" s="211"/>
      <c r="G320" s="211"/>
      <c r="H320" s="211"/>
      <c r="I320" s="211"/>
      <c r="J320" s="211"/>
      <c r="K320" s="211"/>
      <c r="L320" s="211"/>
      <c r="M320" s="211"/>
      <c r="N320" s="211"/>
      <c r="O320" s="211"/>
      <c r="P320" s="211"/>
      <c r="Q320" s="211"/>
      <c r="R320" s="211"/>
      <c r="S320" s="211"/>
      <c r="T320" s="211"/>
      <c r="U320" s="211"/>
      <c r="V320" s="211"/>
      <c r="W320" s="211"/>
      <c r="X320" s="211"/>
      <c r="Y320" s="211"/>
      <c r="Z320" s="211"/>
      <c r="AA320" s="211"/>
      <c r="AB320" s="211"/>
      <c r="AC320" s="211"/>
      <c r="AD320" s="211"/>
      <c r="AE320" s="211"/>
      <c r="AF320" s="211"/>
      <c r="AG320" s="211"/>
      <c r="AH320" s="211"/>
      <c r="AI320" s="211"/>
      <c r="AJ320" s="211"/>
      <c r="AK320" s="211"/>
      <c r="AL320" s="211"/>
      <c r="AM320" s="211"/>
      <c r="AN320" s="211"/>
      <c r="AO320" s="211"/>
      <c r="AP320" s="211"/>
    </row>
    <row r="321" spans="1:42" ht="13.5" x14ac:dyDescent="0.25">
      <c r="A321" s="208"/>
      <c r="B321" s="175"/>
      <c r="C321" s="175"/>
      <c r="D321" s="175"/>
      <c r="E321" s="175"/>
      <c r="F321" s="175"/>
      <c r="G321" s="175"/>
      <c r="H321" s="175"/>
      <c r="I321" s="175"/>
      <c r="J321" s="175"/>
      <c r="K321" s="175"/>
      <c r="L321" s="175"/>
      <c r="M321" s="175"/>
      <c r="N321" s="175"/>
      <c r="O321" s="175"/>
      <c r="P321" s="175"/>
      <c r="Q321" s="175"/>
      <c r="R321" s="175"/>
      <c r="S321" s="175"/>
      <c r="T321" s="175"/>
      <c r="U321" s="175"/>
      <c r="V321" s="175"/>
      <c r="W321" s="175"/>
      <c r="X321" s="175"/>
      <c r="Y321" s="175"/>
      <c r="Z321" s="175"/>
      <c r="AA321" s="175"/>
      <c r="AB321" s="175"/>
      <c r="AC321" s="175"/>
      <c r="AD321" s="175"/>
      <c r="AE321" s="175"/>
      <c r="AF321" s="175"/>
      <c r="AG321" s="175"/>
      <c r="AH321" s="175"/>
      <c r="AI321" s="175"/>
      <c r="AJ321" s="175"/>
      <c r="AK321" s="175"/>
      <c r="AL321" s="175"/>
      <c r="AM321" s="175"/>
      <c r="AN321" s="175"/>
      <c r="AO321" s="175"/>
      <c r="AP321" s="175"/>
    </row>
    <row r="322" spans="1:42" ht="13.5" x14ac:dyDescent="0.25">
      <c r="A322" s="203" t="s">
        <v>343</v>
      </c>
      <c r="B322" s="184" t="e">
        <f>SUM(B323:B324)</f>
        <v>#REF!</v>
      </c>
      <c r="C322" s="184" t="e">
        <f>SUM(C323:C324)</f>
        <v>#REF!</v>
      </c>
      <c r="D322" s="184" t="e">
        <f>SUM(D323:D324)</f>
        <v>#REF!</v>
      </c>
      <c r="E322" s="184" t="e">
        <f>SUM(E323:E324)</f>
        <v>#REF!</v>
      </c>
      <c r="F322" s="184" t="e">
        <f>SUM(F323:F324)</f>
        <v>#REF!</v>
      </c>
      <c r="G322" s="184"/>
      <c r="H322" s="184">
        <f>SUM(H323:H324)</f>
        <v>0</v>
      </c>
      <c r="I322" s="184"/>
      <c r="J322" s="184"/>
      <c r="K322" s="184"/>
      <c r="L322" s="184"/>
      <c r="M322" s="184"/>
      <c r="N322" s="184"/>
      <c r="O322" s="184"/>
      <c r="P322" s="184"/>
      <c r="Q322" s="184"/>
      <c r="R322" s="184"/>
      <c r="S322" s="184"/>
      <c r="T322" s="184"/>
      <c r="U322" s="184"/>
      <c r="V322" s="184"/>
      <c r="W322" s="184"/>
      <c r="X322" s="184"/>
      <c r="Y322" s="184"/>
      <c r="Z322" s="184"/>
      <c r="AA322" s="184"/>
      <c r="AB322" s="184"/>
      <c r="AC322" s="184"/>
      <c r="AD322" s="184"/>
      <c r="AE322" s="184"/>
      <c r="AF322" s="184"/>
      <c r="AG322" s="184"/>
      <c r="AH322" s="184"/>
      <c r="AI322" s="184"/>
      <c r="AJ322" s="184"/>
      <c r="AK322" s="184"/>
      <c r="AL322" s="184"/>
      <c r="AM322" s="184"/>
      <c r="AN322" s="184"/>
      <c r="AO322" s="184">
        <f>SUM(AO323:AO324)</f>
        <v>0</v>
      </c>
      <c r="AP322" s="184">
        <f>SUM(AP323:AP324)</f>
        <v>0</v>
      </c>
    </row>
    <row r="323" spans="1:42" ht="13.5" x14ac:dyDescent="0.25">
      <c r="A323" s="196" t="s">
        <v>376</v>
      </c>
      <c r="B323" s="179" t="e">
        <f t="array" ref="B323">SUM(IF('[5]2013-2016 Projects'!$O$4:$O$202="Renewal-80",'[5]2013-2016 Projects'!$V$4:$V$202,0))</f>
        <v>#REF!</v>
      </c>
      <c r="C323" s="179" t="e">
        <f t="array" ref="C323">SUM(IF('[5]2013-2016 Projects'!$O$4:$O$202="Renewal-80",'[5]2013-2016 Projects'!$V$4:$V$202,0))</f>
        <v>#REF!</v>
      </c>
      <c r="D323" s="179" t="e">
        <f t="array" ref="D323">SUM(IF('[5]2013-2016 Projects'!$O$4:$O$202="Renewal-80",'[5]2013-2016 Projects'!$V$4:$V$202,0))</f>
        <v>#REF!</v>
      </c>
      <c r="E323" s="179" t="e">
        <f t="array" ref="E323">SUM(IF('[5]2013-2016 Projects'!$O$4:$O$202="Renewal-80",'[5]2013-2016 Projects'!$V$4:$V$202,0))</f>
        <v>#REF!</v>
      </c>
      <c r="F323" s="179" t="e">
        <f t="array" ref="F323">SUM(IF('[5]2013-2016 Projects'!$O$4:$O$202="Renewal-80",'[5]2013-2016 Projects'!$V$4:$V$202,0))</f>
        <v>#REF!</v>
      </c>
      <c r="G323" s="179"/>
      <c r="H323" s="179">
        <f t="array" ref="H323">SUM(IF('2014-2017 Projects'!$T$5:$T$258="Renewal-80",'2014-2017 Projects'!$AK$5:$AK$258,0))</f>
        <v>0</v>
      </c>
      <c r="I323" s="179"/>
      <c r="J323" s="179"/>
      <c r="K323" s="179"/>
      <c r="L323" s="179"/>
      <c r="M323" s="179"/>
      <c r="N323" s="179"/>
      <c r="O323" s="179"/>
      <c r="P323" s="179"/>
      <c r="Q323" s="179"/>
      <c r="R323" s="179"/>
      <c r="S323" s="179"/>
      <c r="T323" s="179"/>
      <c r="U323" s="179"/>
      <c r="V323" s="179"/>
      <c r="W323" s="179"/>
      <c r="X323" s="179"/>
      <c r="Y323" s="179"/>
      <c r="Z323" s="179"/>
      <c r="AA323" s="179"/>
      <c r="AB323" s="179"/>
      <c r="AC323" s="179"/>
      <c r="AD323" s="179"/>
      <c r="AE323" s="179"/>
      <c r="AF323" s="179"/>
      <c r="AG323" s="179"/>
      <c r="AH323" s="179"/>
      <c r="AI323" s="179"/>
      <c r="AJ323" s="179"/>
      <c r="AK323" s="179"/>
      <c r="AL323" s="179"/>
      <c r="AM323" s="179"/>
      <c r="AN323" s="179"/>
      <c r="AO323" s="179">
        <f t="array" ref="AO323">SUM(IF('2014-2017 Projects'!$T$5:$T$258="Renewal-80",'2014-2017 Projects'!$CG$5:$CG$258,0))</f>
        <v>0</v>
      </c>
      <c r="AP323" s="179">
        <f t="array" ref="AP323">SUM(IF('2014-2017 Projects'!$T$5:$T$258="Renewal-80",'2014-2017 Projects'!$CH$5:$CH$258,0))</f>
        <v>0</v>
      </c>
    </row>
    <row r="324" spans="1:42" ht="13.5" x14ac:dyDescent="0.25">
      <c r="A324" s="196" t="s">
        <v>36</v>
      </c>
      <c r="B324" s="213"/>
      <c r="C324" s="213"/>
      <c r="D324" s="213"/>
      <c r="E324" s="213"/>
      <c r="F324" s="213"/>
      <c r="G324" s="213"/>
      <c r="H324" s="213"/>
      <c r="I324" s="213"/>
      <c r="J324" s="213"/>
      <c r="K324" s="213"/>
      <c r="L324" s="213"/>
      <c r="M324" s="213"/>
      <c r="N324" s="213"/>
      <c r="O324" s="213"/>
      <c r="P324" s="213"/>
      <c r="Q324" s="213"/>
      <c r="R324" s="213"/>
      <c r="S324" s="213"/>
      <c r="T324" s="213"/>
      <c r="U324" s="213"/>
      <c r="V324" s="213"/>
      <c r="W324" s="213"/>
      <c r="X324" s="213"/>
      <c r="Y324" s="213"/>
      <c r="Z324" s="213"/>
      <c r="AA324" s="213"/>
      <c r="AB324" s="213"/>
      <c r="AC324" s="213"/>
      <c r="AD324" s="213"/>
      <c r="AE324" s="213"/>
      <c r="AF324" s="213"/>
      <c r="AG324" s="213"/>
      <c r="AH324" s="213"/>
      <c r="AI324" s="213"/>
      <c r="AJ324" s="213"/>
      <c r="AK324" s="213"/>
      <c r="AL324" s="213"/>
      <c r="AM324" s="213"/>
      <c r="AN324" s="213"/>
      <c r="AO324" s="213"/>
      <c r="AP324" s="213"/>
    </row>
    <row r="325" spans="1:42" ht="13.5" x14ac:dyDescent="0.25">
      <c r="A325" s="208"/>
      <c r="B325" s="175"/>
      <c r="C325" s="175"/>
      <c r="D325" s="175"/>
      <c r="E325" s="175"/>
      <c r="F325" s="175"/>
      <c r="G325" s="175"/>
      <c r="H325" s="175"/>
      <c r="I325" s="175"/>
      <c r="J325" s="175"/>
      <c r="K325" s="175"/>
      <c r="L325" s="175"/>
      <c r="M325" s="175"/>
      <c r="N325" s="175"/>
      <c r="O325" s="175"/>
      <c r="P325" s="175"/>
      <c r="Q325" s="175"/>
      <c r="R325" s="175"/>
      <c r="S325" s="175"/>
      <c r="T325" s="175"/>
      <c r="U325" s="175"/>
      <c r="V325" s="175"/>
      <c r="W325" s="175"/>
      <c r="X325" s="175"/>
      <c r="Y325" s="175"/>
      <c r="Z325" s="175"/>
      <c r="AA325" s="175"/>
      <c r="AB325" s="175"/>
      <c r="AC325" s="175"/>
      <c r="AD325" s="175"/>
      <c r="AE325" s="175"/>
      <c r="AF325" s="175"/>
      <c r="AG325" s="175"/>
      <c r="AH325" s="175"/>
      <c r="AI325" s="175"/>
      <c r="AJ325" s="175"/>
      <c r="AK325" s="175"/>
      <c r="AL325" s="175"/>
      <c r="AM325" s="175"/>
      <c r="AN325" s="175"/>
      <c r="AO325" s="175"/>
      <c r="AP325" s="175"/>
    </row>
    <row r="326" spans="1:42" ht="13.5" x14ac:dyDescent="0.25">
      <c r="A326" s="203" t="s">
        <v>5</v>
      </c>
      <c r="B326" s="184" t="e">
        <f>SUM(B327:B338)</f>
        <v>#REF!</v>
      </c>
      <c r="C326" s="184" t="e">
        <f>SUM(C327:C338)</f>
        <v>#REF!</v>
      </c>
      <c r="D326" s="184" t="e">
        <f>SUM(D327:D338)</f>
        <v>#REF!</v>
      </c>
      <c r="E326" s="184" t="e">
        <f>SUM(E327:E338)</f>
        <v>#REF!</v>
      </c>
      <c r="F326" s="184" t="e">
        <f>SUM(F327:F338)</f>
        <v>#REF!</v>
      </c>
      <c r="G326" s="184"/>
      <c r="H326" s="184">
        <f>SUM(H327:H338)</f>
        <v>20395288</v>
      </c>
      <c r="I326" s="184"/>
      <c r="J326" s="184"/>
      <c r="K326" s="184"/>
      <c r="L326" s="184"/>
      <c r="M326" s="184"/>
      <c r="N326" s="184"/>
      <c r="O326" s="184"/>
      <c r="P326" s="184"/>
      <c r="Q326" s="184"/>
      <c r="R326" s="184"/>
      <c r="S326" s="184"/>
      <c r="T326" s="184"/>
      <c r="U326" s="184"/>
      <c r="V326" s="184"/>
      <c r="W326" s="184"/>
      <c r="X326" s="184"/>
      <c r="Y326" s="184"/>
      <c r="Z326" s="184"/>
      <c r="AA326" s="184"/>
      <c r="AB326" s="184"/>
      <c r="AC326" s="184"/>
      <c r="AD326" s="184"/>
      <c r="AE326" s="184"/>
      <c r="AF326" s="184"/>
      <c r="AG326" s="184"/>
      <c r="AH326" s="184"/>
      <c r="AI326" s="184"/>
      <c r="AJ326" s="184"/>
      <c r="AK326" s="184"/>
      <c r="AL326" s="184"/>
      <c r="AM326" s="184"/>
      <c r="AN326" s="184"/>
      <c r="AO326" s="184">
        <f>SUM(AO327:AO338)</f>
        <v>17720661</v>
      </c>
      <c r="AP326" s="184">
        <f>SUM(AP327:AP338)</f>
        <v>21655051</v>
      </c>
    </row>
    <row r="327" spans="1:42" ht="13.5" x14ac:dyDescent="0.25">
      <c r="A327" s="195" t="s">
        <v>377</v>
      </c>
      <c r="B327" s="212" t="e">
        <f t="array" ref="B327">SUM(IF('[5]2013-2016 Projects'!$O$4:$O$202="Renewal-250",'[5]2013-2016 Projects'!$V$4:$V$202,0))</f>
        <v>#REF!</v>
      </c>
      <c r="C327" s="212" t="e">
        <f t="array" ref="C327">SUM(IF('[5]2013-2016 Projects'!$O$4:$O$202="Renewal-250",'[5]2013-2016 Projects'!$V$4:$V$202,0))</f>
        <v>#REF!</v>
      </c>
      <c r="D327" s="212" t="e">
        <f t="array" ref="D327">SUM(IF('[5]2013-2016 Projects'!$O$4:$O$202="Renewal-250",'[5]2013-2016 Projects'!$V$4:$V$202,0))</f>
        <v>#REF!</v>
      </c>
      <c r="E327" s="212" t="e">
        <f t="array" ref="E327">SUM(IF('[5]2013-2016 Projects'!$O$4:$O$202="Renewal-250",'[5]2013-2016 Projects'!$V$4:$V$202,0))</f>
        <v>#REF!</v>
      </c>
      <c r="F327" s="212" t="e">
        <f t="array" ref="F327">SUM(IF('[5]2013-2016 Projects'!$O$4:$O$202="Renewal-250",'[5]2013-2016 Projects'!$V$4:$V$202,0))</f>
        <v>#REF!</v>
      </c>
      <c r="G327" s="212"/>
      <c r="H327" s="179">
        <f t="array" ref="H327">SUM(IF('2014-2017 Projects'!$T$5:$T$258="Renewal-250",'2014-2017 Projects'!$AK$5:$AK$258,0))</f>
        <v>0</v>
      </c>
      <c r="I327" s="179"/>
      <c r="J327" s="179"/>
      <c r="K327" s="179"/>
      <c r="L327" s="179"/>
      <c r="M327" s="179"/>
      <c r="N327" s="179"/>
      <c r="O327" s="179"/>
      <c r="P327" s="179"/>
      <c r="Q327" s="179"/>
      <c r="R327" s="179"/>
      <c r="S327" s="179"/>
      <c r="T327" s="179"/>
      <c r="U327" s="179"/>
      <c r="V327" s="179"/>
      <c r="W327" s="179"/>
      <c r="X327" s="179"/>
      <c r="Y327" s="179"/>
      <c r="Z327" s="179"/>
      <c r="AA327" s="179"/>
      <c r="AB327" s="179"/>
      <c r="AC327" s="179"/>
      <c r="AD327" s="179"/>
      <c r="AE327" s="179"/>
      <c r="AF327" s="179"/>
      <c r="AG327" s="179"/>
      <c r="AH327" s="179"/>
      <c r="AI327" s="179"/>
      <c r="AJ327" s="179"/>
      <c r="AK327" s="179"/>
      <c r="AL327" s="179"/>
      <c r="AM327" s="179"/>
      <c r="AN327" s="179"/>
      <c r="AO327" s="179">
        <f t="array" ref="AO327">SUM(IF('2014-2017 Projects'!$T$5:$T$258="Renewal-250",'2014-2017 Projects'!$CG$5:$CG$258,0))</f>
        <v>0</v>
      </c>
      <c r="AP327" s="179">
        <f t="array" ref="AP327">SUM(IF('2014-2017 Projects'!$T$5:$T$258="Renewal-250",'2014-2017 Projects'!$CH$5:$CH$258,0))</f>
        <v>0</v>
      </c>
    </row>
    <row r="328" spans="1:42" ht="13.5" x14ac:dyDescent="0.25">
      <c r="A328" s="195" t="s">
        <v>378</v>
      </c>
      <c r="B328" s="179" t="e">
        <f t="array" ref="B328">SUM(IF('[5]2013-2016 Projects'!$O$4:$O$202="Renewal-340",'[5]2013-2016 Projects'!$V$4:$V$202,0))</f>
        <v>#REF!</v>
      </c>
      <c r="C328" s="179" t="e">
        <f t="array" ref="C328">SUM(IF('[5]2013-2016 Projects'!$O$4:$O$202="Renewal-340",'[5]2013-2016 Projects'!$V$4:$V$202,0))</f>
        <v>#REF!</v>
      </c>
      <c r="D328" s="179" t="e">
        <f t="array" ref="D328">SUM(IF('[5]2013-2016 Projects'!$O$4:$O$202="Renewal-340",'[5]2013-2016 Projects'!$V$4:$V$202,0))</f>
        <v>#REF!</v>
      </c>
      <c r="E328" s="179" t="e">
        <f t="array" ref="E328">SUM(IF('[5]2013-2016 Projects'!$O$4:$O$202="Renewal-340",'[5]2013-2016 Projects'!$V$4:$V$202,0))</f>
        <v>#REF!</v>
      </c>
      <c r="F328" s="179" t="e">
        <f t="array" ref="F328">SUM(IF('[5]2013-2016 Projects'!$O$4:$O$202="Renewal-340",'[5]2013-2016 Projects'!$V$4:$V$202,0))</f>
        <v>#REF!</v>
      </c>
      <c r="G328" s="179"/>
      <c r="H328" s="179">
        <f>+H354</f>
        <v>0</v>
      </c>
      <c r="I328" s="179"/>
      <c r="J328" s="179"/>
      <c r="K328" s="179"/>
      <c r="L328" s="179"/>
      <c r="M328" s="179"/>
      <c r="N328" s="179"/>
      <c r="O328" s="179"/>
      <c r="P328" s="179"/>
      <c r="Q328" s="179"/>
      <c r="R328" s="179"/>
      <c r="S328" s="179"/>
      <c r="T328" s="179"/>
      <c r="U328" s="179"/>
      <c r="V328" s="179"/>
      <c r="W328" s="179"/>
      <c r="X328" s="179"/>
      <c r="Y328" s="179"/>
      <c r="Z328" s="179"/>
      <c r="AA328" s="179"/>
      <c r="AB328" s="179"/>
      <c r="AC328" s="179"/>
      <c r="AD328" s="179"/>
      <c r="AE328" s="179"/>
      <c r="AF328" s="179"/>
      <c r="AG328" s="179"/>
      <c r="AH328" s="179"/>
      <c r="AI328" s="179"/>
      <c r="AJ328" s="179"/>
      <c r="AK328" s="179"/>
      <c r="AL328" s="179"/>
      <c r="AM328" s="179"/>
      <c r="AN328" s="179"/>
      <c r="AO328" s="179">
        <f>+AO354</f>
        <v>0</v>
      </c>
      <c r="AP328" s="179">
        <f>+AP354</f>
        <v>0</v>
      </c>
    </row>
    <row r="329" spans="1:42" ht="13.5" x14ac:dyDescent="0.25">
      <c r="A329" s="195" t="s">
        <v>379</v>
      </c>
      <c r="B329" s="179" t="e">
        <f t="array" ref="B329">SUM(IF('[5]2013-2016 Projects'!$O$4:$O$202="Renewal-260",'[5]2013-2016 Projects'!$V$4:$V$202,0))</f>
        <v>#REF!</v>
      </c>
      <c r="C329" s="179" t="e">
        <f t="array" ref="C329">SUM(IF('[5]2013-2016 Projects'!$O$4:$O$202="Renewal-260",'[5]2013-2016 Projects'!$V$4:$V$202,0))</f>
        <v>#REF!</v>
      </c>
      <c r="D329" s="179" t="e">
        <f t="array" ref="D329">SUM(IF('[5]2013-2016 Projects'!$O$4:$O$202="Renewal-260",'[5]2013-2016 Projects'!$V$4:$V$202,0))</f>
        <v>#REF!</v>
      </c>
      <c r="E329" s="179" t="e">
        <f t="array" ref="E329">SUM(IF('[5]2013-2016 Projects'!$O$4:$O$202="Renewal-260",'[5]2013-2016 Projects'!$V$4:$V$202,0))</f>
        <v>#REF!</v>
      </c>
      <c r="F329" s="179" t="e">
        <f t="array" ref="F329">SUM(IF('[5]2013-2016 Projects'!$O$4:$O$202="Renewal-260",'[5]2013-2016 Projects'!$V$4:$V$202,0))</f>
        <v>#REF!</v>
      </c>
      <c r="G329" s="179"/>
      <c r="H329" s="179">
        <f t="array" ref="H329">SUM(IF('2014-2017 Projects'!$T$5:$T$258="Renewal-260",'2014-2017 Projects'!$AK$5:$AK$258,0))</f>
        <v>0</v>
      </c>
      <c r="I329" s="179"/>
      <c r="J329" s="179"/>
      <c r="K329" s="179"/>
      <c r="L329" s="179"/>
      <c r="M329" s="179"/>
      <c r="N329" s="179"/>
      <c r="O329" s="179"/>
      <c r="P329" s="179"/>
      <c r="Q329" s="179"/>
      <c r="R329" s="179"/>
      <c r="S329" s="179"/>
      <c r="T329" s="179"/>
      <c r="U329" s="179"/>
      <c r="V329" s="179"/>
      <c r="W329" s="179"/>
      <c r="X329" s="179"/>
      <c r="Y329" s="179"/>
      <c r="Z329" s="179"/>
      <c r="AA329" s="179"/>
      <c r="AB329" s="179"/>
      <c r="AC329" s="179"/>
      <c r="AD329" s="179"/>
      <c r="AE329" s="179"/>
      <c r="AF329" s="179"/>
      <c r="AG329" s="179"/>
      <c r="AH329" s="179"/>
      <c r="AI329" s="179"/>
      <c r="AJ329" s="179"/>
      <c r="AK329" s="179"/>
      <c r="AL329" s="179"/>
      <c r="AM329" s="179"/>
      <c r="AN329" s="179"/>
      <c r="AO329" s="179">
        <f t="array" ref="AO329">SUM(IF('2014-2017 Projects'!$T$5:$T$258="Renewal-260",'2014-2017 Projects'!$CG$5:$CG$258,0))</f>
        <v>0</v>
      </c>
      <c r="AP329" s="179">
        <f t="array" ref="AP329">SUM(IF('2014-2017 Projects'!$T$5:$T$258="Renewal-260",'2014-2017 Projects'!$CH$5:$CH$258,0))</f>
        <v>0</v>
      </c>
    </row>
    <row r="330" spans="1:42" ht="13.5" x14ac:dyDescent="0.25">
      <c r="A330" s="195" t="s">
        <v>380</v>
      </c>
      <c r="B330" s="179" t="e">
        <f t="array" ref="B330">SUM(IF('[5]2013-2016 Projects'!$O$4:$O$202="Renewal-271",'[5]2013-2016 Projects'!$V$4:$V$202,0))</f>
        <v>#REF!</v>
      </c>
      <c r="C330" s="179" t="e">
        <f t="array" ref="C330">SUM(IF('[5]2013-2016 Projects'!$O$4:$O$202="Renewal-271",'[5]2013-2016 Projects'!$V$4:$V$202,0))</f>
        <v>#REF!</v>
      </c>
      <c r="D330" s="179" t="e">
        <f t="array" ref="D330">SUM(IF('[5]2013-2016 Projects'!$O$4:$O$202="Renewal-271",'[5]2013-2016 Projects'!$V$4:$V$202,0))</f>
        <v>#REF!</v>
      </c>
      <c r="E330" s="179" t="e">
        <f t="array" ref="E330">SUM(IF('[5]2013-2016 Projects'!$O$4:$O$202="Renewal-271",'[5]2013-2016 Projects'!$V$4:$V$202,0))</f>
        <v>#REF!</v>
      </c>
      <c r="F330" s="179" t="e">
        <f t="array" ref="F330">SUM(IF('[5]2013-2016 Projects'!$O$4:$O$202="Renewal-271",'[5]2013-2016 Projects'!$V$4:$V$202,0))</f>
        <v>#REF!</v>
      </c>
      <c r="G330" s="179"/>
      <c r="H330" s="179">
        <v>0</v>
      </c>
      <c r="I330" s="179"/>
      <c r="J330" s="179"/>
      <c r="K330" s="179"/>
      <c r="L330" s="179"/>
      <c r="M330" s="179"/>
      <c r="N330" s="179"/>
      <c r="O330" s="179"/>
      <c r="P330" s="179"/>
      <c r="Q330" s="179"/>
      <c r="R330" s="179"/>
      <c r="S330" s="179"/>
      <c r="T330" s="179"/>
      <c r="U330" s="179"/>
      <c r="V330" s="179"/>
      <c r="W330" s="179"/>
      <c r="X330" s="179"/>
      <c r="Y330" s="179"/>
      <c r="Z330" s="179"/>
      <c r="AA330" s="179"/>
      <c r="AB330" s="179"/>
      <c r="AC330" s="179"/>
      <c r="AD330" s="179"/>
      <c r="AE330" s="179"/>
      <c r="AF330" s="179"/>
      <c r="AG330" s="179"/>
      <c r="AH330" s="179"/>
      <c r="AI330" s="179"/>
      <c r="AJ330" s="179"/>
      <c r="AK330" s="179"/>
      <c r="AL330" s="179"/>
      <c r="AM330" s="179"/>
      <c r="AN330" s="179"/>
      <c r="AO330" s="179">
        <v>0</v>
      </c>
      <c r="AP330" s="179">
        <v>0</v>
      </c>
    </row>
    <row r="331" spans="1:42" ht="13.5" x14ac:dyDescent="0.25">
      <c r="A331" s="195" t="s">
        <v>381</v>
      </c>
      <c r="B331" s="179" t="e">
        <f t="array" ref="B331">SUM(IF('[5]2013-2016 Projects'!$O$4:$O$202="Renewal-270",'[5]2013-2016 Projects'!$V$4:$V$202,0))</f>
        <v>#REF!</v>
      </c>
      <c r="C331" s="179" t="e">
        <f t="array" ref="C331">SUM(IF('[5]2013-2016 Projects'!$O$4:$O$202="Renewal-270",'[5]2013-2016 Projects'!$V$4:$V$202,0))</f>
        <v>#REF!</v>
      </c>
      <c r="D331" s="179" t="e">
        <f t="array" ref="D331">SUM(IF('[5]2013-2016 Projects'!$O$4:$O$202="Renewal-270",'[5]2013-2016 Projects'!$V$4:$V$202,0))</f>
        <v>#REF!</v>
      </c>
      <c r="E331" s="179" t="e">
        <f t="array" ref="E331">SUM(IF('[5]2013-2016 Projects'!$O$4:$O$202="Renewal-270",'[5]2013-2016 Projects'!$V$4:$V$202,0))</f>
        <v>#REF!</v>
      </c>
      <c r="F331" s="179" t="e">
        <f t="array" ref="F331">SUM(IF('[5]2013-2016 Projects'!$O$4:$O$202="Renewal-270",'[5]2013-2016 Projects'!$V$4:$V$202,0))</f>
        <v>#REF!</v>
      </c>
      <c r="G331" s="179"/>
      <c r="H331" s="179">
        <f t="array" ref="H331">SUM(IF('2014-2017 Projects'!$T$5:$T$258="Renewal-270",'2014-2017 Projects'!$AK$5:$AK$258,0))</f>
        <v>0</v>
      </c>
      <c r="I331" s="179"/>
      <c r="J331" s="179"/>
      <c r="K331" s="179"/>
      <c r="L331" s="179"/>
      <c r="M331" s="179"/>
      <c r="N331" s="179"/>
      <c r="O331" s="179"/>
      <c r="P331" s="179"/>
      <c r="Q331" s="179"/>
      <c r="R331" s="179"/>
      <c r="S331" s="179"/>
      <c r="T331" s="179"/>
      <c r="U331" s="179"/>
      <c r="V331" s="179"/>
      <c r="W331" s="179"/>
      <c r="X331" s="179"/>
      <c r="Y331" s="179"/>
      <c r="Z331" s="179"/>
      <c r="AA331" s="179"/>
      <c r="AB331" s="179"/>
      <c r="AC331" s="179"/>
      <c r="AD331" s="179"/>
      <c r="AE331" s="179"/>
      <c r="AF331" s="179"/>
      <c r="AG331" s="179"/>
      <c r="AH331" s="179"/>
      <c r="AI331" s="179"/>
      <c r="AJ331" s="179"/>
      <c r="AK331" s="179"/>
      <c r="AL331" s="179"/>
      <c r="AM331" s="179"/>
      <c r="AN331" s="179"/>
      <c r="AO331" s="179">
        <f t="array" ref="AO331">SUM(IF('2014-2017 Projects'!$T$5:$T$258="Renewal-270",'2014-2017 Projects'!$CG$5:$CG$258,0))</f>
        <v>0</v>
      </c>
      <c r="AP331" s="179">
        <f t="array" ref="AP331">SUM(IF('2014-2017 Projects'!$T$5:$T$258="Renewal-270",'2014-2017 Projects'!$CH$5:$CH$258,0))</f>
        <v>0</v>
      </c>
    </row>
    <row r="332" spans="1:42" ht="13.5" x14ac:dyDescent="0.25">
      <c r="A332" s="195" t="s">
        <v>382</v>
      </c>
      <c r="B332" s="180"/>
      <c r="C332" s="180"/>
      <c r="D332" s="180"/>
      <c r="E332" s="180"/>
      <c r="F332" s="180"/>
      <c r="G332" s="180"/>
      <c r="H332" s="180"/>
      <c r="I332" s="180"/>
      <c r="J332" s="180"/>
      <c r="K332" s="180"/>
      <c r="L332" s="180"/>
      <c r="M332" s="180"/>
      <c r="N332" s="180"/>
      <c r="O332" s="180"/>
      <c r="P332" s="180"/>
      <c r="Q332" s="180"/>
      <c r="R332" s="180"/>
      <c r="S332" s="180"/>
      <c r="T332" s="180"/>
      <c r="U332" s="180"/>
      <c r="V332" s="180"/>
      <c r="W332" s="180"/>
      <c r="X332" s="180"/>
      <c r="Y332" s="180"/>
      <c r="Z332" s="180"/>
      <c r="AA332" s="180"/>
      <c r="AB332" s="180"/>
      <c r="AC332" s="180"/>
      <c r="AD332" s="180"/>
      <c r="AE332" s="180"/>
      <c r="AF332" s="180"/>
      <c r="AG332" s="180"/>
      <c r="AH332" s="180"/>
      <c r="AI332" s="180"/>
      <c r="AJ332" s="180"/>
      <c r="AK332" s="180"/>
      <c r="AL332" s="180"/>
      <c r="AM332" s="180"/>
      <c r="AN332" s="180"/>
      <c r="AO332" s="180"/>
      <c r="AP332" s="180"/>
    </row>
    <row r="333" spans="1:42" ht="13.5" x14ac:dyDescent="0.25">
      <c r="A333" s="195" t="s">
        <v>383</v>
      </c>
      <c r="B333" s="179" t="e">
        <f t="array" ref="B333">SUM(IF('[5]2013-2016 Projects'!$O$4:$O$202="Renewal-290",'[5]2013-2016 Projects'!$V$4:$V$202,0))</f>
        <v>#REF!</v>
      </c>
      <c r="C333" s="179" t="e">
        <f t="array" ref="C333">SUM(IF('[5]2013-2016 Projects'!$O$4:$O$202="Renewal-290",'[5]2013-2016 Projects'!$V$4:$V$202,0))</f>
        <v>#REF!</v>
      </c>
      <c r="D333" s="179" t="e">
        <f t="array" ref="D333">SUM(IF('[5]2013-2016 Projects'!$O$4:$O$202="Renewal-290",'[5]2013-2016 Projects'!$V$4:$V$202,0))</f>
        <v>#REF!</v>
      </c>
      <c r="E333" s="179" t="e">
        <f t="array" ref="E333">SUM(IF('[5]2013-2016 Projects'!$O$4:$O$202="Renewal-290",'[5]2013-2016 Projects'!$V$4:$V$202,0))</f>
        <v>#REF!</v>
      </c>
      <c r="F333" s="179" t="e">
        <f t="array" ref="F333">SUM(IF('[5]2013-2016 Projects'!$O$4:$O$202="Renewal-290",'[5]2013-2016 Projects'!$V$4:$V$202,0))</f>
        <v>#REF!</v>
      </c>
      <c r="G333" s="179"/>
      <c r="H333" s="179">
        <f t="array" ref="H333">SUM(IF('2014-2017 Projects'!$T$5:$T$258="Renewal-290",'2014-2017 Projects'!$AK$5:$AK$258,0))</f>
        <v>0</v>
      </c>
      <c r="I333" s="179"/>
      <c r="J333" s="179"/>
      <c r="K333" s="179"/>
      <c r="L333" s="179"/>
      <c r="M333" s="179"/>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79"/>
      <c r="AK333" s="179"/>
      <c r="AL333" s="179"/>
      <c r="AM333" s="179"/>
      <c r="AN333" s="179"/>
      <c r="AO333" s="179">
        <f t="array" ref="AO333">SUM(IF('2014-2017 Projects'!$T$5:$T$258="Renewal-290",'2014-2017 Projects'!$CG$5:$CG$258,0))</f>
        <v>0</v>
      </c>
      <c r="AP333" s="179">
        <f t="array" ref="AP333">SUM(IF('2014-2017 Projects'!$T$5:$T$258="Renewal-290",'2014-2017 Projects'!$CH$5:$CH$258,0))</f>
        <v>0</v>
      </c>
    </row>
    <row r="334" spans="1:42" ht="13.5" x14ac:dyDescent="0.25">
      <c r="A334" s="195" t="s">
        <v>384</v>
      </c>
      <c r="B334" s="179" t="e">
        <f t="array" ref="B334">SUM(IF('[5]2013-2016 Projects'!$O$4:$O$202="Renewal-312",'[5]2013-2016 Projects'!$V$4:$V$202,0))</f>
        <v>#REF!</v>
      </c>
      <c r="C334" s="179" t="e">
        <f t="array" ref="C334">SUM(IF('[5]2013-2016 Projects'!$O$4:$O$202="Renewal-312",'[5]2013-2016 Projects'!$V$4:$V$202,0))</f>
        <v>#REF!</v>
      </c>
      <c r="D334" s="179" t="e">
        <f t="array" ref="D334">SUM(IF('[5]2013-2016 Projects'!$O$4:$O$202="Renewal-312",'[5]2013-2016 Projects'!$V$4:$V$202,0))</f>
        <v>#REF!</v>
      </c>
      <c r="E334" s="179" t="e">
        <f t="array" ref="E334">SUM(IF('[5]2013-2016 Projects'!$O$4:$O$202="Renewal-312",'[5]2013-2016 Projects'!$V$4:$V$202,0))</f>
        <v>#REF!</v>
      </c>
      <c r="F334" s="179" t="e">
        <f t="array" ref="F334">SUM(IF('[5]2013-2016 Projects'!$O$4:$O$202="Renewal-312",'[5]2013-2016 Projects'!$V$4:$V$202,0))</f>
        <v>#REF!</v>
      </c>
      <c r="G334" s="179"/>
      <c r="H334" s="179">
        <f t="array" ref="H334">SUM(IF('2014-2017 Projects'!$T$5:$T$258="Renewal-312",'2014-2017 Projects'!$AK$5:$AK$258,0))</f>
        <v>20395288</v>
      </c>
      <c r="I334" s="179"/>
      <c r="J334" s="179"/>
      <c r="K334" s="179"/>
      <c r="L334" s="179"/>
      <c r="M334" s="179"/>
      <c r="N334" s="179"/>
      <c r="O334" s="179"/>
      <c r="P334" s="179"/>
      <c r="Q334" s="179"/>
      <c r="R334" s="179"/>
      <c r="S334" s="179"/>
      <c r="T334" s="179"/>
      <c r="U334" s="179"/>
      <c r="V334" s="179"/>
      <c r="W334" s="179"/>
      <c r="X334" s="179"/>
      <c r="Y334" s="179"/>
      <c r="Z334" s="179"/>
      <c r="AA334" s="179"/>
      <c r="AB334" s="179"/>
      <c r="AC334" s="179"/>
      <c r="AD334" s="179"/>
      <c r="AE334" s="179"/>
      <c r="AF334" s="179"/>
      <c r="AG334" s="179"/>
      <c r="AH334" s="179"/>
      <c r="AI334" s="179"/>
      <c r="AJ334" s="179"/>
      <c r="AK334" s="179"/>
      <c r="AL334" s="179"/>
      <c r="AM334" s="179"/>
      <c r="AN334" s="179"/>
      <c r="AO334" s="179">
        <f t="array" ref="AO334">SUM(IF('2014-2017 Projects'!$T$5:$T$258="Renewal-312",'2014-2017 Projects'!$CG$5:$CG$258,0))</f>
        <v>17720661</v>
      </c>
      <c r="AP334" s="179">
        <f t="array" ref="AP334">SUM(IF('2014-2017 Projects'!$T$5:$T$258="Renewal-312",'2014-2017 Projects'!$CH$5:$CH$258,0))</f>
        <v>21655051</v>
      </c>
    </row>
    <row r="335" spans="1:42" ht="13.5" x14ac:dyDescent="0.25">
      <c r="A335" s="195" t="s">
        <v>385</v>
      </c>
      <c r="B335" s="180"/>
      <c r="C335" s="180"/>
      <c r="D335" s="180"/>
      <c r="E335" s="180"/>
      <c r="F335" s="180"/>
      <c r="G335" s="180"/>
      <c r="H335" s="180"/>
      <c r="I335" s="180"/>
      <c r="J335" s="180"/>
      <c r="K335" s="180"/>
      <c r="L335" s="180"/>
      <c r="M335" s="180"/>
      <c r="N335" s="180"/>
      <c r="O335" s="180"/>
      <c r="P335" s="180"/>
      <c r="Q335" s="180"/>
      <c r="R335" s="180"/>
      <c r="S335" s="180"/>
      <c r="T335" s="180"/>
      <c r="U335" s="180"/>
      <c r="V335" s="180"/>
      <c r="W335" s="180"/>
      <c r="X335" s="180"/>
      <c r="Y335" s="180"/>
      <c r="Z335" s="180"/>
      <c r="AA335" s="180"/>
      <c r="AB335" s="180"/>
      <c r="AC335" s="180"/>
      <c r="AD335" s="180"/>
      <c r="AE335" s="180"/>
      <c r="AF335" s="180"/>
      <c r="AG335" s="180"/>
      <c r="AH335" s="180"/>
      <c r="AI335" s="180"/>
      <c r="AJ335" s="180"/>
      <c r="AK335" s="180"/>
      <c r="AL335" s="180"/>
      <c r="AM335" s="180"/>
      <c r="AN335" s="180"/>
      <c r="AO335" s="180"/>
      <c r="AP335" s="180"/>
    </row>
    <row r="336" spans="1:42" ht="13.5" x14ac:dyDescent="0.25">
      <c r="A336" s="195" t="s">
        <v>386</v>
      </c>
      <c r="B336" s="180"/>
      <c r="C336" s="180"/>
      <c r="D336" s="180"/>
      <c r="E336" s="180"/>
      <c r="F336" s="180"/>
      <c r="G336" s="180"/>
      <c r="H336" s="180"/>
      <c r="I336" s="180"/>
      <c r="J336" s="180"/>
      <c r="K336" s="180"/>
      <c r="L336" s="180"/>
      <c r="M336" s="180"/>
      <c r="N336" s="180"/>
      <c r="O336" s="180"/>
      <c r="P336" s="180"/>
      <c r="Q336" s="180"/>
      <c r="R336" s="180"/>
      <c r="S336" s="180"/>
      <c r="T336" s="180"/>
      <c r="U336" s="180"/>
      <c r="V336" s="180"/>
      <c r="W336" s="180"/>
      <c r="X336" s="180"/>
      <c r="Y336" s="180"/>
      <c r="Z336" s="180"/>
      <c r="AA336" s="180"/>
      <c r="AB336" s="180"/>
      <c r="AC336" s="180"/>
      <c r="AD336" s="180"/>
      <c r="AE336" s="180"/>
      <c r="AF336" s="180"/>
      <c r="AG336" s="180"/>
      <c r="AH336" s="180"/>
      <c r="AI336" s="180"/>
      <c r="AJ336" s="180"/>
      <c r="AK336" s="180"/>
      <c r="AL336" s="180"/>
      <c r="AM336" s="180"/>
      <c r="AN336" s="180"/>
      <c r="AO336" s="180"/>
      <c r="AP336" s="180"/>
    </row>
    <row r="337" spans="1:48" ht="13.5" x14ac:dyDescent="0.25">
      <c r="A337" s="195" t="s">
        <v>387</v>
      </c>
      <c r="B337" s="180"/>
      <c r="C337" s="180"/>
      <c r="D337" s="180"/>
      <c r="E337" s="180"/>
      <c r="F337" s="180"/>
      <c r="G337" s="180"/>
      <c r="H337" s="180"/>
      <c r="I337" s="180"/>
      <c r="J337" s="180"/>
      <c r="K337" s="180"/>
      <c r="L337" s="180"/>
      <c r="M337" s="180"/>
      <c r="N337" s="180"/>
      <c r="O337" s="180"/>
      <c r="P337" s="180"/>
      <c r="Q337" s="180"/>
      <c r="R337" s="180"/>
      <c r="S337" s="180"/>
      <c r="T337" s="180"/>
      <c r="U337" s="180"/>
      <c r="V337" s="180"/>
      <c r="W337" s="180"/>
      <c r="X337" s="180"/>
      <c r="Y337" s="180"/>
      <c r="Z337" s="180"/>
      <c r="AA337" s="180"/>
      <c r="AB337" s="180"/>
      <c r="AC337" s="180"/>
      <c r="AD337" s="180"/>
      <c r="AE337" s="180"/>
      <c r="AF337" s="180"/>
      <c r="AG337" s="180"/>
      <c r="AH337" s="180"/>
      <c r="AI337" s="180"/>
      <c r="AJ337" s="180"/>
      <c r="AK337" s="180"/>
      <c r="AL337" s="180"/>
      <c r="AM337" s="180"/>
      <c r="AN337" s="180"/>
      <c r="AO337" s="180"/>
      <c r="AP337" s="180"/>
    </row>
    <row r="338" spans="1:48" ht="13.5" x14ac:dyDescent="0.25">
      <c r="A338" s="196" t="s">
        <v>36</v>
      </c>
      <c r="B338" s="179" t="e">
        <f t="array" ref="B338">SUM(IF('[5]2013-2016 Projects'!$O$4:$O$202="Renewal-320",'[5]2013-2016 Projects'!$V$4:$V$202,0))</f>
        <v>#REF!</v>
      </c>
      <c r="C338" s="179" t="e">
        <f t="array" ref="C338">SUM(IF('[5]2013-2016 Projects'!$O$4:$O$202="Renewal-320",'[5]2013-2016 Projects'!$V$4:$V$202,0))</f>
        <v>#REF!</v>
      </c>
      <c r="D338" s="179" t="e">
        <f t="array" ref="D338">SUM(IF('[5]2013-2016 Projects'!$O$4:$O$202="Renewal-320",'[5]2013-2016 Projects'!$V$4:$V$202,0))</f>
        <v>#REF!</v>
      </c>
      <c r="E338" s="179" t="e">
        <f t="array" ref="E338">SUM(IF('[5]2013-2016 Projects'!$O$4:$O$202="Renewal-320",'[5]2013-2016 Projects'!$V$4:$V$202,0))</f>
        <v>#REF!</v>
      </c>
      <c r="F338" s="179" t="e">
        <f t="array" ref="F338">SUM(IF('[5]2013-2016 Projects'!$O$4:$O$202="Renewal-320",'[5]2013-2016 Projects'!$V$4:$V$202,0))</f>
        <v>#REF!</v>
      </c>
      <c r="G338" s="179"/>
      <c r="H338" s="179">
        <f t="array" ref="H338">SUM(IF('2014-2017 Projects'!$T$5:$T$258="Renewal-320",'2014-2017 Projects'!$AK$5:$AK$258,0))</f>
        <v>0</v>
      </c>
      <c r="I338" s="179"/>
      <c r="J338" s="179"/>
      <c r="K338" s="179"/>
      <c r="L338" s="179"/>
      <c r="M338" s="179"/>
      <c r="N338" s="179"/>
      <c r="O338" s="179"/>
      <c r="P338" s="179"/>
      <c r="Q338" s="179"/>
      <c r="R338" s="179"/>
      <c r="S338" s="179"/>
      <c r="T338" s="179"/>
      <c r="U338" s="179"/>
      <c r="V338" s="179"/>
      <c r="W338" s="179"/>
      <c r="X338" s="179"/>
      <c r="Y338" s="179"/>
      <c r="Z338" s="179"/>
      <c r="AA338" s="179"/>
      <c r="AB338" s="179"/>
      <c r="AC338" s="179"/>
      <c r="AD338" s="179"/>
      <c r="AE338" s="179"/>
      <c r="AF338" s="179"/>
      <c r="AG338" s="179"/>
      <c r="AH338" s="179"/>
      <c r="AI338" s="179"/>
      <c r="AJ338" s="179"/>
      <c r="AK338" s="179"/>
      <c r="AL338" s="179"/>
      <c r="AM338" s="179"/>
      <c r="AN338" s="179"/>
      <c r="AO338" s="179">
        <f t="array" ref="AO338">SUM(IF('2014-2017 Projects'!$T$5:$T$258="Renewal-320",'2014-2017 Projects'!$CG$5:$CG$258,0))</f>
        <v>0</v>
      </c>
      <c r="AP338" s="179">
        <f t="array" ref="AP338">SUM(IF('2014-2017 Projects'!$T$5:$T$258="Renewal-320",'2014-2017 Projects'!$CH$5:$CH$258,0))</f>
        <v>0</v>
      </c>
    </row>
    <row r="339" spans="1:48" ht="13.5" x14ac:dyDescent="0.25">
      <c r="A339" s="208"/>
      <c r="B339" s="175"/>
      <c r="C339" s="175"/>
      <c r="D339" s="175"/>
      <c r="E339" s="175"/>
      <c r="F339" s="175"/>
      <c r="G339" s="175"/>
      <c r="H339" s="175"/>
      <c r="I339" s="175"/>
      <c r="J339" s="175"/>
      <c r="K339" s="175"/>
      <c r="L339" s="175"/>
      <c r="M339" s="175"/>
      <c r="N339" s="175"/>
      <c r="O339" s="175"/>
      <c r="P339" s="175"/>
      <c r="Q339" s="175"/>
      <c r="R339" s="175"/>
      <c r="S339" s="175"/>
      <c r="T339" s="175"/>
      <c r="U339" s="175"/>
      <c r="V339" s="175"/>
      <c r="W339" s="175"/>
      <c r="X339" s="175"/>
      <c r="Y339" s="175"/>
      <c r="Z339" s="175"/>
      <c r="AA339" s="175"/>
      <c r="AB339" s="175"/>
      <c r="AC339" s="175"/>
      <c r="AD339" s="175"/>
      <c r="AE339" s="175"/>
      <c r="AF339" s="175"/>
      <c r="AG339" s="175"/>
      <c r="AH339" s="175"/>
      <c r="AI339" s="175"/>
      <c r="AJ339" s="175"/>
      <c r="AK339" s="175"/>
      <c r="AL339" s="175"/>
      <c r="AM339" s="175"/>
      <c r="AN339" s="175"/>
      <c r="AO339" s="175"/>
      <c r="AP339" s="175"/>
    </row>
    <row r="340" spans="1:48" ht="13.5" x14ac:dyDescent="0.25">
      <c r="A340" s="203" t="s">
        <v>388</v>
      </c>
      <c r="B340" s="175">
        <f>SUM(B341:B342)</f>
        <v>0</v>
      </c>
      <c r="C340" s="175">
        <f>SUM(C341:C342)</f>
        <v>0</v>
      </c>
      <c r="D340" s="175">
        <f>SUM(D341:D342)</f>
        <v>0</v>
      </c>
      <c r="E340" s="175">
        <f>SUM(E341:E342)</f>
        <v>0</v>
      </c>
      <c r="F340" s="175">
        <f>SUM(F341:F342)</f>
        <v>0</v>
      </c>
      <c r="G340" s="175"/>
      <c r="H340" s="175">
        <f>SUM(H341:H342)</f>
        <v>0</v>
      </c>
      <c r="I340" s="175"/>
      <c r="J340" s="175"/>
      <c r="K340" s="175"/>
      <c r="L340" s="175"/>
      <c r="M340" s="175"/>
      <c r="N340" s="175"/>
      <c r="O340" s="175"/>
      <c r="P340" s="175"/>
      <c r="Q340" s="175"/>
      <c r="R340" s="175"/>
      <c r="S340" s="175"/>
      <c r="T340" s="175"/>
      <c r="U340" s="175"/>
      <c r="V340" s="175"/>
      <c r="W340" s="175"/>
      <c r="X340" s="175"/>
      <c r="Y340" s="175"/>
      <c r="Z340" s="175"/>
      <c r="AA340" s="175"/>
      <c r="AB340" s="175"/>
      <c r="AC340" s="175"/>
      <c r="AD340" s="175"/>
      <c r="AE340" s="175"/>
      <c r="AF340" s="175"/>
      <c r="AG340" s="175"/>
      <c r="AH340" s="175"/>
      <c r="AI340" s="175"/>
      <c r="AJ340" s="175"/>
      <c r="AK340" s="175"/>
      <c r="AL340" s="175"/>
      <c r="AM340" s="175"/>
      <c r="AN340" s="175"/>
      <c r="AO340" s="175">
        <f>SUM(AO341:AO342)</f>
        <v>0</v>
      </c>
      <c r="AP340" s="175">
        <f>SUM(AP341:AP342)</f>
        <v>0</v>
      </c>
    </row>
    <row r="341" spans="1:48" ht="13.5" x14ac:dyDescent="0.25">
      <c r="A341" s="214" t="s">
        <v>389</v>
      </c>
      <c r="B341" s="215"/>
      <c r="C341" s="215"/>
      <c r="D341" s="215"/>
      <c r="E341" s="215"/>
      <c r="F341" s="215"/>
      <c r="G341" s="215"/>
      <c r="H341" s="215"/>
      <c r="I341" s="215"/>
      <c r="J341" s="215"/>
      <c r="K341" s="215"/>
      <c r="L341" s="215"/>
      <c r="M341" s="215"/>
      <c r="N341" s="215"/>
      <c r="O341" s="215"/>
      <c r="P341" s="215"/>
      <c r="Q341" s="215"/>
      <c r="R341" s="215"/>
      <c r="S341" s="215"/>
      <c r="T341" s="215"/>
      <c r="U341" s="215"/>
      <c r="V341" s="215"/>
      <c r="W341" s="215"/>
      <c r="X341" s="215"/>
      <c r="Y341" s="215"/>
      <c r="Z341" s="215"/>
      <c r="AA341" s="215"/>
      <c r="AB341" s="215"/>
      <c r="AC341" s="215"/>
      <c r="AD341" s="215"/>
      <c r="AE341" s="215"/>
      <c r="AF341" s="215"/>
      <c r="AG341" s="215"/>
      <c r="AH341" s="215"/>
      <c r="AI341" s="215"/>
      <c r="AJ341" s="215"/>
      <c r="AK341" s="215"/>
      <c r="AL341" s="215"/>
      <c r="AM341" s="215"/>
      <c r="AN341" s="215"/>
      <c r="AO341" s="215"/>
      <c r="AP341" s="215"/>
    </row>
    <row r="342" spans="1:48" ht="13.5" x14ac:dyDescent="0.25">
      <c r="A342" s="214"/>
      <c r="B342" s="213"/>
      <c r="C342" s="213"/>
      <c r="D342" s="213"/>
      <c r="E342" s="213"/>
      <c r="F342" s="213"/>
      <c r="G342" s="213"/>
      <c r="H342" s="213"/>
      <c r="I342" s="213"/>
      <c r="J342" s="213"/>
      <c r="K342" s="213"/>
      <c r="L342" s="213"/>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row>
    <row r="343" spans="1:48" ht="13.5" x14ac:dyDescent="0.25">
      <c r="A343" s="208"/>
      <c r="B343" s="175"/>
      <c r="C343" s="175"/>
      <c r="D343" s="175"/>
      <c r="E343" s="175"/>
      <c r="F343" s="175"/>
      <c r="G343" s="175"/>
      <c r="H343" s="175"/>
      <c r="I343" s="175"/>
      <c r="J343" s="175"/>
      <c r="K343" s="175"/>
      <c r="L343" s="175"/>
      <c r="M343" s="175"/>
      <c r="N343" s="175"/>
      <c r="O343" s="175"/>
      <c r="P343" s="175"/>
      <c r="Q343" s="175"/>
      <c r="R343" s="175"/>
      <c r="S343" s="175"/>
      <c r="T343" s="175"/>
      <c r="U343" s="175"/>
      <c r="V343" s="175"/>
      <c r="W343" s="175"/>
      <c r="X343" s="175"/>
      <c r="Y343" s="175"/>
      <c r="Z343" s="175"/>
      <c r="AA343" s="175"/>
      <c r="AB343" s="175"/>
      <c r="AC343" s="175"/>
      <c r="AD343" s="175"/>
      <c r="AE343" s="175"/>
      <c r="AF343" s="175"/>
      <c r="AG343" s="175"/>
      <c r="AH343" s="175"/>
      <c r="AI343" s="175"/>
      <c r="AJ343" s="175"/>
      <c r="AK343" s="175"/>
      <c r="AL343" s="175"/>
      <c r="AM343" s="175"/>
      <c r="AN343" s="175"/>
      <c r="AO343" s="175"/>
      <c r="AP343" s="175"/>
    </row>
    <row r="344" spans="1:48" ht="13.5" x14ac:dyDescent="0.25">
      <c r="A344" s="203" t="s">
        <v>344</v>
      </c>
      <c r="B344" s="175">
        <f>SUM(B345:B346)</f>
        <v>0</v>
      </c>
      <c r="C344" s="175">
        <f>SUM(C345:C346)</f>
        <v>0</v>
      </c>
      <c r="D344" s="175">
        <f>SUM(D345:D346)</f>
        <v>0</v>
      </c>
      <c r="E344" s="175">
        <f>SUM(E345:E346)</f>
        <v>0</v>
      </c>
      <c r="F344" s="175">
        <f>SUM(F345:F346)</f>
        <v>0</v>
      </c>
      <c r="G344" s="175"/>
      <c r="H344" s="175">
        <f>SUM(H345:H346)</f>
        <v>0</v>
      </c>
      <c r="I344" s="175"/>
      <c r="J344" s="175"/>
      <c r="K344" s="175"/>
      <c r="L344" s="175"/>
      <c r="M344" s="175"/>
      <c r="N344" s="175"/>
      <c r="O344" s="175"/>
      <c r="P344" s="175"/>
      <c r="Q344" s="175"/>
      <c r="R344" s="175"/>
      <c r="S344" s="175"/>
      <c r="T344" s="175"/>
      <c r="U344" s="175"/>
      <c r="V344" s="175"/>
      <c r="W344" s="175"/>
      <c r="X344" s="175"/>
      <c r="Y344" s="175"/>
      <c r="Z344" s="175"/>
      <c r="AA344" s="175"/>
      <c r="AB344" s="175"/>
      <c r="AC344" s="175"/>
      <c r="AD344" s="175"/>
      <c r="AE344" s="175"/>
      <c r="AF344" s="175"/>
      <c r="AG344" s="175"/>
      <c r="AH344" s="175"/>
      <c r="AI344" s="175"/>
      <c r="AJ344" s="175"/>
      <c r="AK344" s="175"/>
      <c r="AL344" s="175"/>
      <c r="AM344" s="175"/>
      <c r="AN344" s="175"/>
      <c r="AO344" s="175">
        <f>SUM(AO345:AO346)</f>
        <v>0</v>
      </c>
      <c r="AP344" s="175">
        <f>SUM(AP345:AP346)</f>
        <v>0</v>
      </c>
    </row>
    <row r="345" spans="1:48" ht="13.5" x14ac:dyDescent="0.25">
      <c r="A345" s="214" t="s">
        <v>389</v>
      </c>
      <c r="B345" s="215"/>
      <c r="C345" s="215"/>
      <c r="D345" s="215"/>
      <c r="E345" s="215"/>
      <c r="F345" s="215"/>
      <c r="G345" s="215"/>
      <c r="H345" s="215"/>
      <c r="I345" s="215"/>
      <c r="J345" s="215"/>
      <c r="K345" s="215"/>
      <c r="L345" s="215"/>
      <c r="M345" s="215"/>
      <c r="N345" s="215"/>
      <c r="O345" s="215"/>
      <c r="P345" s="215"/>
      <c r="Q345" s="215"/>
      <c r="R345" s="215"/>
      <c r="S345" s="215"/>
      <c r="T345" s="215"/>
      <c r="U345" s="215"/>
      <c r="V345" s="215"/>
      <c r="W345" s="215"/>
      <c r="X345" s="215"/>
      <c r="Y345" s="215"/>
      <c r="Z345" s="215"/>
      <c r="AA345" s="215"/>
      <c r="AB345" s="215"/>
      <c r="AC345" s="215"/>
      <c r="AD345" s="215"/>
      <c r="AE345" s="215"/>
      <c r="AF345" s="215"/>
      <c r="AG345" s="215"/>
      <c r="AH345" s="215"/>
      <c r="AI345" s="215"/>
      <c r="AJ345" s="215"/>
      <c r="AK345" s="215"/>
      <c r="AL345" s="215"/>
      <c r="AM345" s="215"/>
      <c r="AN345" s="215"/>
      <c r="AO345" s="215"/>
      <c r="AP345" s="215"/>
    </row>
    <row r="346" spans="1:48" ht="13.5" x14ac:dyDescent="0.25">
      <c r="A346" s="214"/>
      <c r="B346" s="213"/>
      <c r="C346" s="213"/>
      <c r="D346" s="213"/>
      <c r="E346" s="213"/>
      <c r="F346" s="213"/>
      <c r="G346" s="213"/>
      <c r="H346" s="213"/>
      <c r="I346" s="213"/>
      <c r="J346" s="213"/>
      <c r="K346" s="213"/>
      <c r="L346" s="213"/>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row>
    <row r="347" spans="1:48" ht="13.5" x14ac:dyDescent="0.25">
      <c r="A347" s="208"/>
      <c r="B347" s="175"/>
      <c r="C347" s="175"/>
      <c r="D347" s="175"/>
      <c r="E347" s="175"/>
      <c r="F347" s="175"/>
      <c r="G347" s="175"/>
      <c r="H347" s="175"/>
      <c r="I347" s="175"/>
      <c r="J347" s="175"/>
      <c r="K347" s="175"/>
      <c r="L347" s="175"/>
      <c r="M347" s="175"/>
      <c r="N347" s="175"/>
      <c r="O347" s="175"/>
      <c r="P347" s="175"/>
      <c r="Q347" s="175"/>
      <c r="R347" s="175"/>
      <c r="S347" s="175"/>
      <c r="T347" s="175"/>
      <c r="U347" s="175"/>
      <c r="V347" s="175"/>
      <c r="W347" s="175"/>
      <c r="X347" s="175"/>
      <c r="Y347" s="175"/>
      <c r="Z347" s="175"/>
      <c r="AA347" s="175"/>
      <c r="AB347" s="175"/>
      <c r="AC347" s="175"/>
      <c r="AD347" s="175"/>
      <c r="AE347" s="175"/>
      <c r="AF347" s="175"/>
      <c r="AG347" s="175"/>
      <c r="AH347" s="175"/>
      <c r="AI347" s="175"/>
      <c r="AJ347" s="175"/>
      <c r="AK347" s="175"/>
      <c r="AL347" s="175"/>
      <c r="AM347" s="175"/>
      <c r="AN347" s="175"/>
      <c r="AO347" s="175"/>
      <c r="AP347" s="175"/>
    </row>
    <row r="348" spans="1:48" ht="13.5" x14ac:dyDescent="0.25">
      <c r="A348" s="203" t="s">
        <v>345</v>
      </c>
      <c r="B348" s="175">
        <f>SUM(B349:B350)</f>
        <v>0</v>
      </c>
      <c r="C348" s="175">
        <f>SUM(C349:C350)</f>
        <v>0</v>
      </c>
      <c r="D348" s="175">
        <f>SUM(D349:D350)</f>
        <v>0</v>
      </c>
      <c r="E348" s="175">
        <f>SUM(E349:E350)</f>
        <v>0</v>
      </c>
      <c r="F348" s="175">
        <f>SUM(F349:F350)</f>
        <v>0</v>
      </c>
      <c r="G348" s="175"/>
      <c r="H348" s="175">
        <f>SUM(H349:H350)</f>
        <v>0</v>
      </c>
      <c r="I348" s="175"/>
      <c r="J348" s="175"/>
      <c r="K348" s="175"/>
      <c r="L348" s="175"/>
      <c r="M348" s="175"/>
      <c r="N348" s="175"/>
      <c r="O348" s="175"/>
      <c r="P348" s="175"/>
      <c r="Q348" s="175"/>
      <c r="R348" s="175"/>
      <c r="S348" s="175"/>
      <c r="T348" s="175"/>
      <c r="U348" s="175"/>
      <c r="V348" s="175"/>
      <c r="W348" s="175"/>
      <c r="X348" s="175"/>
      <c r="Y348" s="175"/>
      <c r="Z348" s="175"/>
      <c r="AA348" s="175"/>
      <c r="AB348" s="175"/>
      <c r="AC348" s="175"/>
      <c r="AD348" s="175"/>
      <c r="AE348" s="175"/>
      <c r="AF348" s="175"/>
      <c r="AG348" s="175"/>
      <c r="AH348" s="175"/>
      <c r="AI348" s="175"/>
      <c r="AJ348" s="175"/>
      <c r="AK348" s="175"/>
      <c r="AL348" s="175"/>
      <c r="AM348" s="175"/>
      <c r="AN348" s="175"/>
      <c r="AO348" s="175">
        <f>SUM(AO349:AO350)</f>
        <v>0</v>
      </c>
      <c r="AP348" s="175">
        <f>SUM(AP349:AP350)</f>
        <v>0</v>
      </c>
    </row>
    <row r="349" spans="1:48" ht="13.5" x14ac:dyDescent="0.25">
      <c r="A349" s="195" t="s">
        <v>390</v>
      </c>
      <c r="B349" s="215"/>
      <c r="C349" s="215"/>
      <c r="D349" s="215"/>
      <c r="E349" s="215"/>
      <c r="F349" s="215"/>
      <c r="G349" s="215"/>
      <c r="H349" s="215"/>
      <c r="I349" s="215"/>
      <c r="J349" s="215"/>
      <c r="K349" s="215"/>
      <c r="L349" s="215"/>
      <c r="M349" s="215"/>
      <c r="N349" s="215"/>
      <c r="O349" s="215"/>
      <c r="P349" s="215"/>
      <c r="Q349" s="215"/>
      <c r="R349" s="215"/>
      <c r="S349" s="215"/>
      <c r="T349" s="215"/>
      <c r="U349" s="215"/>
      <c r="V349" s="215"/>
      <c r="W349" s="215"/>
      <c r="X349" s="215"/>
      <c r="Y349" s="215"/>
      <c r="Z349" s="215"/>
      <c r="AA349" s="215"/>
      <c r="AB349" s="215"/>
      <c r="AC349" s="215"/>
      <c r="AD349" s="215"/>
      <c r="AE349" s="215"/>
      <c r="AF349" s="215"/>
      <c r="AG349" s="215"/>
      <c r="AH349" s="215"/>
      <c r="AI349" s="215"/>
      <c r="AJ349" s="215"/>
      <c r="AK349" s="215"/>
      <c r="AL349" s="215"/>
      <c r="AM349" s="215"/>
      <c r="AN349" s="215"/>
      <c r="AO349" s="215"/>
      <c r="AP349" s="215"/>
    </row>
    <row r="350" spans="1:48" ht="13.5" x14ac:dyDescent="0.25">
      <c r="A350" s="214" t="s">
        <v>391</v>
      </c>
      <c r="B350" s="213"/>
      <c r="C350" s="213"/>
      <c r="D350" s="213"/>
      <c r="E350" s="213"/>
      <c r="F350" s="213"/>
      <c r="G350" s="213"/>
      <c r="H350" s="213"/>
      <c r="I350" s="213"/>
      <c r="J350" s="213"/>
      <c r="K350" s="213"/>
      <c r="L350" s="213"/>
      <c r="M350" s="213"/>
      <c r="N350" s="213"/>
      <c r="O350" s="213"/>
      <c r="P350" s="213"/>
      <c r="Q350" s="213"/>
      <c r="R350" s="213"/>
      <c r="S350" s="213"/>
      <c r="T350" s="213"/>
      <c r="U350" s="213"/>
      <c r="V350" s="213"/>
      <c r="W350" s="213"/>
      <c r="X350" s="213"/>
      <c r="Y350" s="213"/>
      <c r="Z350" s="213"/>
      <c r="AA350" s="213"/>
      <c r="AB350" s="213"/>
      <c r="AC350" s="213"/>
      <c r="AD350" s="213"/>
      <c r="AE350" s="213"/>
      <c r="AF350" s="213"/>
      <c r="AG350" s="213"/>
      <c r="AH350" s="213"/>
      <c r="AI350" s="213"/>
      <c r="AJ350" s="213"/>
      <c r="AK350" s="213"/>
      <c r="AL350" s="213"/>
      <c r="AM350" s="213"/>
      <c r="AN350" s="213"/>
      <c r="AO350" s="213"/>
      <c r="AP350" s="213"/>
    </row>
    <row r="351" spans="1:48" ht="13.5" x14ac:dyDescent="0.25">
      <c r="A351" s="208"/>
      <c r="B351" s="184"/>
      <c r="C351" s="184"/>
      <c r="D351" s="184"/>
      <c r="E351" s="184"/>
      <c r="F351" s="184"/>
      <c r="G351" s="184"/>
      <c r="H351" s="184"/>
      <c r="I351" s="184"/>
      <c r="J351" s="184"/>
      <c r="K351" s="184"/>
      <c r="L351" s="184"/>
      <c r="M351" s="184"/>
      <c r="N351" s="184"/>
      <c r="O351" s="184"/>
      <c r="P351" s="184"/>
      <c r="Q351" s="184"/>
      <c r="R351" s="184"/>
      <c r="S351" s="184"/>
      <c r="T351" s="184"/>
      <c r="U351" s="184"/>
      <c r="V351" s="184"/>
      <c r="W351" s="184"/>
      <c r="X351" s="184"/>
      <c r="Y351" s="184"/>
      <c r="Z351" s="184"/>
      <c r="AA351" s="184"/>
      <c r="AB351" s="184"/>
      <c r="AC351" s="184"/>
      <c r="AD351" s="184"/>
      <c r="AE351" s="184"/>
      <c r="AF351" s="184"/>
      <c r="AG351" s="184"/>
      <c r="AH351" s="184"/>
      <c r="AI351" s="184"/>
      <c r="AJ351" s="184"/>
      <c r="AK351" s="184"/>
      <c r="AL351" s="184"/>
      <c r="AM351" s="184"/>
      <c r="AN351" s="184"/>
      <c r="AO351" s="184"/>
      <c r="AP351" s="184"/>
    </row>
    <row r="352" spans="1:48" ht="13.5" x14ac:dyDescent="0.25">
      <c r="A352" s="216" t="s">
        <v>398</v>
      </c>
      <c r="B352" s="193" t="e">
        <f>B281+B302+B318+B322+B326+B348+B340+B344</f>
        <v>#REF!</v>
      </c>
      <c r="C352" s="193" t="e">
        <f>C281+C302+C318+C322+C326+C348+C340+C344</f>
        <v>#REF!</v>
      </c>
      <c r="D352" s="193" t="e">
        <f>D281+D302+D318+D322+D326+D348+D340+D344</f>
        <v>#REF!</v>
      </c>
      <c r="E352" s="193" t="e">
        <f>E281+E302+E318+E322+E326+E348+E340+E344</f>
        <v>#REF!</v>
      </c>
      <c r="F352" s="193" t="e">
        <f>F281+F302+F318+F322+F326+F348+F340+F344</f>
        <v>#REF!</v>
      </c>
      <c r="G352" s="193"/>
      <c r="H352" s="193">
        <f>H281+H302+H318+H322+H326+H348+H340+H344</f>
        <v>539821315</v>
      </c>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f>AO281+AO302+AO318+AO322+AO326+AO348+AO340+AO344</f>
        <v>547470661</v>
      </c>
      <c r="AP352" s="193">
        <f>AP281+AP302+AP318+AP322+AP326+AP348+AP340+AP344</f>
        <v>477405051</v>
      </c>
      <c r="AU352" s="321">
        <f>+H352+H269</f>
        <v>936507423</v>
      </c>
      <c r="AV352" s="328">
        <f>+AU352-H21</f>
        <v>-5500000</v>
      </c>
    </row>
    <row r="353" spans="1:49" ht="13.5" x14ac:dyDescent="0.25">
      <c r="A353" s="217"/>
      <c r="B353" s="185"/>
      <c r="C353" s="185"/>
      <c r="D353" s="185"/>
      <c r="E353" s="185"/>
      <c r="F353" s="185"/>
      <c r="G353" s="185"/>
      <c r="H353" s="185"/>
      <c r="I353" s="185"/>
      <c r="J353" s="185"/>
      <c r="K353" s="185"/>
      <c r="L353" s="185"/>
      <c r="M353" s="185"/>
      <c r="N353" s="185"/>
      <c r="O353" s="185"/>
      <c r="P353" s="185"/>
      <c r="Q353" s="185"/>
      <c r="R353" s="185"/>
      <c r="S353" s="185"/>
      <c r="T353" s="185"/>
      <c r="U353" s="185"/>
      <c r="V353" s="185"/>
      <c r="W353" s="185"/>
      <c r="X353" s="185"/>
      <c r="Y353" s="185"/>
      <c r="Z353" s="185"/>
      <c r="AA353" s="185"/>
      <c r="AB353" s="185"/>
      <c r="AC353" s="185"/>
      <c r="AD353" s="185"/>
      <c r="AE353" s="185"/>
      <c r="AF353" s="185"/>
      <c r="AG353" s="185"/>
      <c r="AH353" s="185"/>
      <c r="AI353" s="185"/>
      <c r="AJ353" s="185"/>
      <c r="AK353" s="185"/>
      <c r="AL353" s="185"/>
      <c r="AM353" s="185"/>
      <c r="AN353" s="185"/>
      <c r="AO353" s="185"/>
      <c r="AP353" s="185"/>
    </row>
    <row r="354" spans="1:49" ht="13.5" x14ac:dyDescent="0.25">
      <c r="A354" s="218" t="s">
        <v>378</v>
      </c>
      <c r="B354" s="301">
        <f>SUM(B355:B358)</f>
        <v>0</v>
      </c>
      <c r="C354" s="301">
        <f>SUM(C355:C358)</f>
        <v>0</v>
      </c>
      <c r="D354" s="301">
        <f>SUM(D355:D358)</f>
        <v>0</v>
      </c>
      <c r="E354" s="301">
        <f>SUM(E355:E358)</f>
        <v>0</v>
      </c>
      <c r="F354" s="301">
        <f>SUM(F355:F358)</f>
        <v>0</v>
      </c>
      <c r="G354" s="219"/>
      <c r="H354" s="220">
        <f>SUM(H355:H358)</f>
        <v>0</v>
      </c>
      <c r="I354" s="220"/>
      <c r="J354" s="220"/>
      <c r="K354" s="220"/>
      <c r="L354" s="220"/>
      <c r="M354" s="220"/>
      <c r="N354" s="220"/>
      <c r="O354" s="220"/>
      <c r="P354" s="220"/>
      <c r="Q354" s="220"/>
      <c r="R354" s="220"/>
      <c r="S354" s="220"/>
      <c r="T354" s="220"/>
      <c r="U354" s="220"/>
      <c r="V354" s="220"/>
      <c r="W354" s="220"/>
      <c r="X354" s="220"/>
      <c r="Y354" s="220"/>
      <c r="Z354" s="220"/>
      <c r="AA354" s="220"/>
      <c r="AB354" s="220"/>
      <c r="AC354" s="220"/>
      <c r="AD354" s="220"/>
      <c r="AE354" s="220"/>
      <c r="AF354" s="220"/>
      <c r="AG354" s="220"/>
      <c r="AH354" s="220"/>
      <c r="AI354" s="220"/>
      <c r="AJ354" s="220"/>
      <c r="AK354" s="220"/>
      <c r="AL354" s="220"/>
      <c r="AM354" s="220"/>
      <c r="AN354" s="220"/>
      <c r="AO354" s="220">
        <f>SUM(AO355:AO358)</f>
        <v>0</v>
      </c>
      <c r="AP354" s="220">
        <f>SUM(AP355:AP358)</f>
        <v>0</v>
      </c>
    </row>
    <row r="355" spans="1:49" ht="13.5" x14ac:dyDescent="0.25">
      <c r="A355" s="198" t="s">
        <v>6</v>
      </c>
      <c r="B355" s="302"/>
      <c r="C355" s="302"/>
      <c r="D355" s="302"/>
      <c r="E355" s="302"/>
      <c r="F355" s="302"/>
      <c r="G355" s="221"/>
      <c r="H355" s="179">
        <f t="array" ref="H355">SUM(IF('2014-2017 Projects'!$T$5:$T$258="Renewal-350",'2014-2017 Projects'!$AK$5:$AK$258,0))</f>
        <v>0</v>
      </c>
      <c r="I355" s="179"/>
      <c r="J355" s="179"/>
      <c r="K355" s="179"/>
      <c r="L355" s="179"/>
      <c r="M355" s="179"/>
      <c r="N355" s="179"/>
      <c r="O355" s="179"/>
      <c r="P355" s="179"/>
      <c r="Q355" s="179"/>
      <c r="R355" s="179"/>
      <c r="S355" s="179"/>
      <c r="T355" s="179"/>
      <c r="U355" s="179"/>
      <c r="V355" s="179"/>
      <c r="W355" s="179"/>
      <c r="X355" s="179"/>
      <c r="Y355" s="179"/>
      <c r="Z355" s="179"/>
      <c r="AA355" s="179"/>
      <c r="AB355" s="179"/>
      <c r="AC355" s="179"/>
      <c r="AD355" s="179"/>
      <c r="AE355" s="179"/>
      <c r="AF355" s="179"/>
      <c r="AG355" s="179"/>
      <c r="AH355" s="179"/>
      <c r="AI355" s="179"/>
      <c r="AJ355" s="179"/>
      <c r="AK355" s="179"/>
      <c r="AL355" s="179"/>
      <c r="AM355" s="179"/>
      <c r="AN355" s="179"/>
      <c r="AO355" s="179">
        <f t="array" ref="AO355">SUM(IF('2014-2017 Projects'!$T$5:$T$258="Renewal-350",'2014-2017 Projects'!$CG$5:$CG$258,0))</f>
        <v>0</v>
      </c>
      <c r="AP355" s="179">
        <f t="array" ref="AP355">SUM(IF('2014-2017 Projects'!$T$5:$T$258="Renewal-350",'2014-2017 Projects'!$CH$5:$CH$258,0))</f>
        <v>0</v>
      </c>
    </row>
    <row r="356" spans="1:49" ht="13.5" x14ac:dyDescent="0.25">
      <c r="A356" s="198" t="s">
        <v>393</v>
      </c>
      <c r="B356" s="302"/>
      <c r="C356" s="302"/>
      <c r="D356" s="302"/>
      <c r="E356" s="302"/>
      <c r="F356" s="302"/>
      <c r="G356" s="221"/>
      <c r="H356" s="179">
        <f t="array" ref="H356">SUM(IF('2014-2017 Projects'!$T$5:$T$258="Renewal-360",'2014-2017 Projects'!$AK$5:$AK$258,0))</f>
        <v>0</v>
      </c>
      <c r="I356" s="179"/>
      <c r="J356" s="179"/>
      <c r="K356" s="179"/>
      <c r="L356" s="179"/>
      <c r="M356" s="179"/>
      <c r="N356" s="179"/>
      <c r="O356" s="179"/>
      <c r="P356" s="179"/>
      <c r="Q356" s="179"/>
      <c r="R356" s="179"/>
      <c r="S356" s="179"/>
      <c r="T356" s="179"/>
      <c r="U356" s="179"/>
      <c r="V356" s="179"/>
      <c r="W356" s="179"/>
      <c r="X356" s="179"/>
      <c r="Y356" s="179"/>
      <c r="Z356" s="179"/>
      <c r="AA356" s="179"/>
      <c r="AB356" s="179"/>
      <c r="AC356" s="179"/>
      <c r="AD356" s="179"/>
      <c r="AE356" s="179"/>
      <c r="AF356" s="179"/>
      <c r="AG356" s="179"/>
      <c r="AH356" s="179"/>
      <c r="AI356" s="179"/>
      <c r="AJ356" s="179"/>
      <c r="AK356" s="179"/>
      <c r="AL356" s="179"/>
      <c r="AM356" s="179"/>
      <c r="AN356" s="179"/>
      <c r="AO356" s="179">
        <f t="array" ref="AO356">SUM(IF('2014-2017 Projects'!$T$5:$T$258="Renewal-360",'2014-2017 Projects'!$CG$5:$CG$258,0))</f>
        <v>0</v>
      </c>
      <c r="AP356" s="179">
        <f t="array" ref="AP356">SUM(IF('2014-2017 Projects'!$T$5:$T$258="Renewal-360",'2014-2017 Projects'!$CH$5:$CH$258,0))</f>
        <v>0</v>
      </c>
    </row>
    <row r="357" spans="1:49" ht="13.5" x14ac:dyDescent="0.25">
      <c r="A357" s="198" t="s">
        <v>394</v>
      </c>
      <c r="B357" s="302"/>
      <c r="C357" s="302"/>
      <c r="D357" s="302"/>
      <c r="E357" s="302"/>
      <c r="F357" s="302"/>
      <c r="G357" s="221"/>
      <c r="H357" s="179">
        <f t="array" ref="H357">SUM(IF('2014-2017 Projects'!$T$5:$T$258="Renewal-390",'2014-2017 Projects'!$AK$5:$AK$258,0))</f>
        <v>0</v>
      </c>
      <c r="I357" s="179"/>
      <c r="J357" s="179"/>
      <c r="K357" s="179"/>
      <c r="L357" s="179"/>
      <c r="M357" s="179"/>
      <c r="N357" s="179"/>
      <c r="O357" s="179"/>
      <c r="P357" s="179"/>
      <c r="Q357" s="179"/>
      <c r="R357" s="179"/>
      <c r="S357" s="179"/>
      <c r="T357" s="179"/>
      <c r="U357" s="179"/>
      <c r="V357" s="179"/>
      <c r="W357" s="179"/>
      <c r="X357" s="179"/>
      <c r="Y357" s="179"/>
      <c r="Z357" s="179"/>
      <c r="AA357" s="179"/>
      <c r="AB357" s="179"/>
      <c r="AC357" s="179"/>
      <c r="AD357" s="179"/>
      <c r="AE357" s="179"/>
      <c r="AF357" s="179"/>
      <c r="AG357" s="179"/>
      <c r="AH357" s="179"/>
      <c r="AI357" s="179"/>
      <c r="AJ357" s="179"/>
      <c r="AK357" s="179"/>
      <c r="AL357" s="179"/>
      <c r="AM357" s="179"/>
      <c r="AN357" s="179"/>
      <c r="AO357" s="179">
        <f t="array" ref="AO357">SUM(IF('2014-2017 Projects'!$T$5:$T$258="Renewal-390",'2014-2017 Projects'!$CG$5:$CG$258,0))</f>
        <v>0</v>
      </c>
      <c r="AP357" s="179">
        <f t="array" ref="AP357">SUM(IF('2014-2017 Projects'!$T$5:$T$258="Renewal-390",'2014-2017 Projects'!$CH$5:$CH$258,0))</f>
        <v>0</v>
      </c>
    </row>
    <row r="358" spans="1:49" ht="13.5" x14ac:dyDescent="0.25">
      <c r="A358" s="222" t="s">
        <v>395</v>
      </c>
      <c r="B358" s="303"/>
      <c r="C358" s="303"/>
      <c r="D358" s="303"/>
      <c r="E358" s="303"/>
      <c r="F358" s="303"/>
      <c r="G358" s="223"/>
      <c r="H358" s="224"/>
      <c r="I358" s="224"/>
      <c r="J358" s="224"/>
      <c r="K358" s="224"/>
      <c r="L358" s="224"/>
      <c r="M358" s="224"/>
      <c r="N358" s="224"/>
      <c r="O358" s="224"/>
      <c r="P358" s="224"/>
      <c r="Q358" s="224"/>
      <c r="R358" s="224"/>
      <c r="S358" s="224"/>
      <c r="T358" s="224"/>
      <c r="U358" s="224"/>
      <c r="V358" s="224"/>
      <c r="W358" s="224"/>
      <c r="X358" s="224"/>
      <c r="Y358" s="224"/>
      <c r="Z358" s="224"/>
      <c r="AA358" s="224"/>
      <c r="AB358" s="224"/>
      <c r="AC358" s="224"/>
      <c r="AD358" s="224"/>
      <c r="AE358" s="224"/>
      <c r="AF358" s="224"/>
      <c r="AG358" s="224"/>
      <c r="AH358" s="224"/>
      <c r="AI358" s="224"/>
      <c r="AJ358" s="224"/>
      <c r="AK358" s="224"/>
      <c r="AL358" s="224"/>
      <c r="AM358" s="224"/>
      <c r="AN358" s="224"/>
      <c r="AO358" s="224"/>
      <c r="AP358" s="224"/>
    </row>
    <row r="359" spans="1:49" x14ac:dyDescent="0.2">
      <c r="A359" s="194"/>
      <c r="B359" s="194"/>
      <c r="C359" s="194"/>
      <c r="D359" s="194"/>
      <c r="E359" s="194"/>
      <c r="F359" s="194"/>
      <c r="G359" s="194"/>
      <c r="H359" s="304"/>
      <c r="I359" s="304"/>
      <c r="J359" s="304"/>
      <c r="K359" s="304"/>
      <c r="L359" s="304"/>
      <c r="M359" s="304"/>
      <c r="N359" s="304"/>
      <c r="O359" s="304"/>
      <c r="P359" s="304"/>
      <c r="Q359" s="304"/>
      <c r="R359" s="304"/>
      <c r="S359" s="304"/>
      <c r="T359" s="304"/>
      <c r="U359" s="304"/>
      <c r="V359" s="304"/>
      <c r="W359" s="304"/>
      <c r="X359" s="304"/>
      <c r="Y359" s="304"/>
      <c r="Z359" s="304"/>
      <c r="AA359" s="304"/>
      <c r="AB359" s="304"/>
      <c r="AC359" s="304"/>
      <c r="AD359" s="304"/>
      <c r="AE359" s="304"/>
      <c r="AF359" s="304"/>
      <c r="AG359" s="304"/>
      <c r="AH359" s="304"/>
      <c r="AI359" s="304"/>
      <c r="AJ359" s="304"/>
      <c r="AK359" s="304"/>
      <c r="AL359" s="304"/>
      <c r="AM359" s="304"/>
      <c r="AN359" s="304"/>
      <c r="AO359" s="194"/>
      <c r="AP359" s="194"/>
    </row>
    <row r="360" spans="1:49" x14ac:dyDescent="0.2">
      <c r="A360" s="229" t="s">
        <v>495</v>
      </c>
      <c r="B360" s="230"/>
      <c r="C360" s="230"/>
      <c r="D360" s="230"/>
      <c r="E360" s="230"/>
      <c r="F360" s="230"/>
      <c r="G360" s="230"/>
      <c r="H360" s="230"/>
      <c r="I360" s="230"/>
      <c r="J360" s="230"/>
      <c r="K360" s="230"/>
      <c r="L360" s="230"/>
      <c r="M360" s="230"/>
      <c r="N360" s="230"/>
      <c r="O360" s="230"/>
      <c r="P360" s="230"/>
      <c r="Q360" s="230"/>
      <c r="R360" s="230"/>
      <c r="S360" s="230"/>
      <c r="T360" s="230"/>
      <c r="U360" s="230"/>
      <c r="V360" s="230"/>
      <c r="W360" s="230"/>
      <c r="X360" s="230"/>
      <c r="Y360" s="230"/>
      <c r="Z360" s="230"/>
      <c r="AA360" s="230"/>
      <c r="AB360" s="230"/>
      <c r="AC360" s="230"/>
      <c r="AD360" s="230"/>
      <c r="AE360" s="230"/>
      <c r="AF360" s="230"/>
      <c r="AG360" s="230"/>
      <c r="AH360" s="230"/>
      <c r="AI360" s="230"/>
      <c r="AJ360" s="230"/>
      <c r="AK360" s="230"/>
      <c r="AL360" s="230"/>
      <c r="AM360" s="230"/>
      <c r="AN360" s="230"/>
      <c r="AO360" s="230"/>
      <c r="AP360" s="230"/>
    </row>
    <row r="361" spans="1:49" ht="48" x14ac:dyDescent="0.2">
      <c r="A361" s="231" t="s">
        <v>399</v>
      </c>
      <c r="B361" s="139" t="s">
        <v>297</v>
      </c>
      <c r="C361" s="139" t="s">
        <v>297</v>
      </c>
      <c r="D361" s="139" t="s">
        <v>297</v>
      </c>
      <c r="E361" s="139" t="s">
        <v>297</v>
      </c>
      <c r="F361" s="139" t="s">
        <v>297</v>
      </c>
      <c r="G361" s="139"/>
      <c r="H361" s="139" t="s">
        <v>615</v>
      </c>
      <c r="I361" s="139" t="s">
        <v>695</v>
      </c>
      <c r="J361" s="389" t="s">
        <v>589</v>
      </c>
      <c r="K361" s="389" t="s">
        <v>590</v>
      </c>
      <c r="L361" s="389" t="s">
        <v>591</v>
      </c>
      <c r="M361" s="389" t="s">
        <v>592</v>
      </c>
      <c r="N361" s="389" t="s">
        <v>593</v>
      </c>
      <c r="O361" s="389" t="s">
        <v>594</v>
      </c>
      <c r="P361" s="389" t="s">
        <v>595</v>
      </c>
      <c r="Q361" s="389" t="s">
        <v>596</v>
      </c>
      <c r="R361" s="389" t="s">
        <v>597</v>
      </c>
      <c r="S361" s="389" t="s">
        <v>598</v>
      </c>
      <c r="T361" s="389" t="s">
        <v>599</v>
      </c>
      <c r="U361" s="389" t="s">
        <v>600</v>
      </c>
      <c r="V361" s="389" t="s">
        <v>602</v>
      </c>
      <c r="W361" s="389" t="s">
        <v>603</v>
      </c>
      <c r="X361" s="389" t="s">
        <v>604</v>
      </c>
      <c r="Y361" s="389" t="s">
        <v>605</v>
      </c>
      <c r="Z361" s="389" t="s">
        <v>606</v>
      </c>
      <c r="AA361" s="389" t="s">
        <v>607</v>
      </c>
      <c r="AB361" s="389" t="s">
        <v>609</v>
      </c>
      <c r="AC361" s="389" t="s">
        <v>608</v>
      </c>
      <c r="AD361" s="389" t="s">
        <v>610</v>
      </c>
      <c r="AE361" s="389" t="s">
        <v>611</v>
      </c>
      <c r="AF361" s="389" t="s">
        <v>612</v>
      </c>
      <c r="AG361" s="389" t="s">
        <v>613</v>
      </c>
      <c r="AH361" s="389" t="s">
        <v>203</v>
      </c>
      <c r="AI361" s="389" t="s">
        <v>617</v>
      </c>
      <c r="AJ361" s="389" t="s">
        <v>220</v>
      </c>
      <c r="AK361" s="389" t="s">
        <v>618</v>
      </c>
      <c r="AL361" s="389" t="s">
        <v>619</v>
      </c>
      <c r="AM361" s="389" t="s">
        <v>620</v>
      </c>
      <c r="AN361" s="389" t="s">
        <v>621</v>
      </c>
      <c r="AO361" s="138" t="s">
        <v>429</v>
      </c>
      <c r="AP361" s="138" t="s">
        <v>412</v>
      </c>
    </row>
    <row r="362" spans="1:49" s="132" customFormat="1" x14ac:dyDescent="0.2">
      <c r="A362" s="142" t="s">
        <v>35</v>
      </c>
      <c r="B362" s="318" t="e">
        <f t="array" ref="B362">SUM(IF('[5]2013-2016 Projects'!$E$4:$E$202="Water",'[5]2013-2016 Projects'!$V$4:$V$202,0))</f>
        <v>#REF!</v>
      </c>
      <c r="C362" s="318" t="e">
        <f t="array" ref="C362">SUM(IF('[5]2013-2016 Projects'!$E$4:$E$202="Water",'[5]2013-2016 Projects'!$V$4:$V$202,0))</f>
        <v>#REF!</v>
      </c>
      <c r="D362" s="318">
        <f t="array" ref="D362">SUM(IF('2014-2017 Projects'!$J$5:$J$258="Water",'2014-2017 Projects'!$AG$5:$AG$258,0))</f>
        <v>10000000</v>
      </c>
      <c r="E362" s="318">
        <f t="array" ref="E362">SUM(IF('2014-2017 Projects'!$J$5:$J$258="Water",'2014-2017 Projects'!$AH$5:$AH$258,0))</f>
        <v>0</v>
      </c>
      <c r="F362" s="318">
        <f t="array" ref="F362">SUM(IF('2014-2017 Projects'!$J$5:$J$258="Water",'2014-2017 Projects'!$AI$5:$AI$258,0))</f>
        <v>10000000</v>
      </c>
      <c r="G362" s="318"/>
      <c r="H362" s="318">
        <f t="array" ref="H362">SUM(IF('2014-2017 Projects'!$J$5:$J$258="Water",'2014-2017 Projects'!$AK$5:$AK$258,0))</f>
        <v>97688726</v>
      </c>
      <c r="I362" s="318">
        <f t="array" ref="I362">SUM(IF('2014-2017 Projects'!$J$5:$J$258="Water",'2014-2017 Projects'!$AM$5:$AM$258,0))</f>
        <v>95114971</v>
      </c>
      <c r="J362" s="318">
        <f t="array" ref="J362">SUM(IF('2014-2017 Projects'!$J$5:$J$258="Water",'2014-2017 Projects'!$AN$5:$AN$258,0))</f>
        <v>0</v>
      </c>
      <c r="K362" s="318">
        <f t="array" ref="K362">SUM(IF('2014-2017 Projects'!$J$5:$J$258="Water",'2014-2017 Projects'!$AP$5:$AP$258,0))</f>
        <v>0</v>
      </c>
      <c r="L362" s="318">
        <f t="array" ref="L362">SUM(IF('2014-2017 Projects'!$J$5:$J$258="Water",'2014-2017 Projects'!$AQ$5:$AQ$258,0))</f>
        <v>1847692.21</v>
      </c>
      <c r="M362" s="318">
        <f t="array" ref="M362">SUM(IF('2014-2017 Projects'!$J$5:$J$258="Water",'2014-2017 Projects'!$AS$5:$AS$258,0))</f>
        <v>2052472.4200000002</v>
      </c>
      <c r="N362" s="318">
        <f t="array" ref="N362">SUM(IF('2014-2017 Projects'!$J$5:$J$258="Water",'2014-2017 Projects'!$AT$5:$AT$258,0))</f>
        <v>2223512.66</v>
      </c>
      <c r="O362" s="318">
        <f t="array" ref="O362">SUM(IF('2014-2017 Projects'!$J$5:$J$258="Water",'2014-2017 Projects'!$AV$5:$AV$258,0))</f>
        <v>2348646.58</v>
      </c>
      <c r="P362" s="318">
        <f t="array" ref="P362">SUM(IF('2014-2017 Projects'!$J$5:$J$258="Water",'2014-2017 Projects'!$AW$5:$AW$258,0))</f>
        <v>2998073.1799999997</v>
      </c>
      <c r="Q362" s="318">
        <f t="array" ref="Q362">SUM(IF('2014-2017 Projects'!$J$5:$J$258="Water",'2014-2017 Projects'!$AY$5:$AY$258,0))</f>
        <v>3218272.8499999996</v>
      </c>
      <c r="R362" s="318"/>
      <c r="S362" s="318"/>
      <c r="T362" s="318"/>
      <c r="U362" s="318"/>
      <c r="V362" s="318"/>
      <c r="W362" s="318"/>
      <c r="X362" s="318"/>
      <c r="Y362" s="318"/>
      <c r="Z362" s="318"/>
      <c r="AA362" s="318"/>
      <c r="AB362" s="318"/>
      <c r="AC362" s="318"/>
      <c r="AD362" s="318"/>
      <c r="AE362" s="318"/>
      <c r="AF362" s="318"/>
      <c r="AG362" s="318"/>
      <c r="AH362" s="318">
        <f>J362+L362+N362+P362+R362+T362+V362+X362+Z362+AB362+AD362+AF362</f>
        <v>7069278.0499999998</v>
      </c>
      <c r="AI362" s="318">
        <f>K362+M362+O362+Q362+S362+U362+W362+Y362+AA362+AC362+AE362+AG362</f>
        <v>7619391.8499999996</v>
      </c>
      <c r="AJ362" s="318">
        <f t="array" ref="AJ362">SUM(IF('2014-2017 Projects'!$J$5:$J$258="Water",'2014-2017 Projects'!$BX$5:$BX$258,0))</f>
        <v>11705483.790000001</v>
      </c>
      <c r="AK362" s="318">
        <f>I362-AH362</f>
        <v>88045692.950000003</v>
      </c>
      <c r="AL362" s="318">
        <f>I362-AI362</f>
        <v>87495579.150000006</v>
      </c>
      <c r="AM362" s="390">
        <f>AH362/I362</f>
        <v>7.4323505287090919E-2</v>
      </c>
      <c r="AN362" s="390">
        <f>AI362/I362</f>
        <v>8.0107177344353075E-2</v>
      </c>
      <c r="AO362" s="318">
        <f t="array" ref="AO362">SUM(IF('2014-2017 Projects'!$J$5:$J$258="Water",'2014-2017 Projects'!$CG$5:$CG$258,0))</f>
        <v>91000000</v>
      </c>
      <c r="AP362" s="318">
        <f t="array" ref="AP362">SUM(IF('2014-2017 Projects'!$J$5:$J$258="Water",'2014-2017 Projects'!$CH$5:$CH$258,0))</f>
        <v>91000000</v>
      </c>
      <c r="AS362" s="141"/>
      <c r="AT362" s="141"/>
      <c r="AU362" s="281"/>
      <c r="AV362" s="281"/>
      <c r="AW362" s="281"/>
    </row>
    <row r="363" spans="1:49" s="132" customFormat="1" x14ac:dyDescent="0.2">
      <c r="A363" s="142" t="s">
        <v>73</v>
      </c>
      <c r="B363" s="318" t="e">
        <f t="array" ref="B363">SUM(IF('[5]2013-2016 Projects'!$E$4:$E$202="Waste Water",'[5]2013-2016 Projects'!$V$4:$V$202,0))</f>
        <v>#REF!</v>
      </c>
      <c r="C363" s="318" t="e">
        <f t="array" ref="C363">SUM(IF('[5]2013-2016 Projects'!$E$4:$E$202="Waste Water",'[5]2013-2016 Projects'!$V$4:$V$202,0))</f>
        <v>#REF!</v>
      </c>
      <c r="D363" s="318">
        <f t="array" ref="D363">SUM(IF('2014-2017 Projects'!$J$5:$J$258="Waste Water",'2014-2017 Projects'!$AG$5:$AG$258,0))</f>
        <v>57854000</v>
      </c>
      <c r="E363" s="318">
        <f t="array" ref="E363">SUM(IF('2014-2017 Projects'!$J$5:$J$258="Waste Water",'2014-2017 Projects'!$AH$5:$AH$258,0))</f>
        <v>0</v>
      </c>
      <c r="F363" s="318">
        <f t="array" ref="F363">SUM(IF('2014-2017 Projects'!$J$5:$J$258="Waste Water",'2014-2017 Projects'!$AI$5:$AI$258,0))</f>
        <v>57854000</v>
      </c>
      <c r="G363" s="318"/>
      <c r="H363" s="318">
        <f t="array" ref="H363">SUM(IF('2014-2017 Projects'!$J$5:$J$258="Waste Water",'2014-2017 Projects'!$AK$5:$AK$258,0))</f>
        <v>216507892</v>
      </c>
      <c r="I363" s="318">
        <f t="array" ref="I363">SUM(IF('2014-2017 Projects'!$J$5:$J$258="Waste Water",'2014-2017 Projects'!$AM$5:$AM$258,0))</f>
        <v>220656160</v>
      </c>
      <c r="J363" s="318">
        <f t="array" ref="J363">SUM(IF('2014-2017 Projects'!$J$5:$J$258="Waste Water",'2014-2017 Projects'!$AN$5:$AN$258,0))</f>
        <v>-199830.90999999997</v>
      </c>
      <c r="K363" s="318">
        <f t="array" ref="K363">SUM(IF('2014-2017 Projects'!$J$5:$J$258="Waste Water",'2014-2017 Projects'!$AP$5:$AP$258,0))</f>
        <v>-199830.90999999997</v>
      </c>
      <c r="L363" s="318">
        <f t="array" ref="L363">SUM(IF('2014-2017 Projects'!$J$5:$J$258="Waste Water",'2014-2017 Projects'!$AQ$5:$AQ$258,0))</f>
        <v>10076331.119999999</v>
      </c>
      <c r="M363" s="318">
        <f t="array" ref="M363">SUM(IF('2014-2017 Projects'!$J$5:$J$258="Waste Water",'2014-2017 Projects'!$AS$5:$AS$258,0))</f>
        <v>11392071.699999999</v>
      </c>
      <c r="N363" s="318">
        <f t="array" ref="N363">SUM(IF('2014-2017 Projects'!$J$5:$J$258="Waste Water",'2014-2017 Projects'!$AT$5:$AT$258,0))</f>
        <v>7571347.3499999996</v>
      </c>
      <c r="O363" s="318">
        <f t="array" ref="O363">SUM(IF('2014-2017 Projects'!$J$5:$J$258="Waste Water",'2014-2017 Projects'!$AV$5:$AV$258,0))</f>
        <v>9263739.9100000001</v>
      </c>
      <c r="P363" s="318">
        <f t="array" ref="P363">SUM(IF('2014-2017 Projects'!$J$5:$J$258="Waste Water",'2014-2017 Projects'!$AW$5:$AW$258,0))</f>
        <v>7829714.1199999992</v>
      </c>
      <c r="Q363" s="318">
        <f t="array" ref="Q363">SUM(IF('2014-2017 Projects'!$J$5:$J$258="Waste Water",'2014-2017 Projects'!$AY$5:$AY$258,0))</f>
        <v>8877686.1400000006</v>
      </c>
      <c r="R363" s="318"/>
      <c r="S363" s="318"/>
      <c r="T363" s="318"/>
      <c r="U363" s="318"/>
      <c r="V363" s="318"/>
      <c r="W363" s="318"/>
      <c r="X363" s="318"/>
      <c r="Y363" s="318"/>
      <c r="Z363" s="318"/>
      <c r="AA363" s="318"/>
      <c r="AB363" s="318"/>
      <c r="AC363" s="318"/>
      <c r="AD363" s="318"/>
      <c r="AE363" s="318"/>
      <c r="AF363" s="318"/>
      <c r="AG363" s="318"/>
      <c r="AH363" s="318">
        <f t="shared" ref="AH363:AH374" si="73">J363+L363+N363+P363+R363+T363+V363+X363+Z363+AB363+AD363+AF363</f>
        <v>25277561.68</v>
      </c>
      <c r="AI363" s="318">
        <f t="shared" ref="AI363:AI374" si="74">K363+M363+O363+Q363+S363+U363+W363+Y363+AA363+AC363+AE363+AG363</f>
        <v>29333666.84</v>
      </c>
      <c r="AJ363" s="318">
        <f t="array" ref="AJ363">SUM(IF('2014-2017 Projects'!$J$5:$J$258="Waste Water",'2014-2017 Projects'!$BX$5:$BX$258,0))</f>
        <v>1822399.27</v>
      </c>
      <c r="AK363" s="318">
        <f t="shared" ref="AK363:AK374" si="75">I363-AH363</f>
        <v>195378598.31999999</v>
      </c>
      <c r="AL363" s="318">
        <f t="shared" ref="AL363:AL374" si="76">I363-AI363</f>
        <v>191322493.16</v>
      </c>
      <c r="AM363" s="390">
        <f t="shared" ref="AM363:AM375" si="77">AH363/I363</f>
        <v>0.11455633815072283</v>
      </c>
      <c r="AN363" s="390">
        <f t="shared" ref="AN363:AN376" si="78">AI363/I363</f>
        <v>0.13293835458751752</v>
      </c>
      <c r="AO363" s="318">
        <f t="array" ref="AO363">SUM(IF('2014-2017 Projects'!$J$5:$J$258="Waste Water",'2014-2017 Projects'!$CG$5:$CG$258,0))</f>
        <v>230000000</v>
      </c>
      <c r="AP363" s="318">
        <f t="array" ref="AP363">SUM(IF('2014-2017 Projects'!$J$5:$J$258="Waste Water",'2014-2017 Projects'!$CH$5:$CH$258,0))</f>
        <v>137000000</v>
      </c>
      <c r="AS363" s="141"/>
      <c r="AT363" s="141"/>
      <c r="AU363" s="281"/>
      <c r="AV363" s="281"/>
      <c r="AW363" s="281"/>
    </row>
    <row r="364" spans="1:49" s="132" customFormat="1" x14ac:dyDescent="0.2">
      <c r="A364" s="142" t="s">
        <v>14</v>
      </c>
      <c r="B364" s="318" t="e">
        <f t="array" ref="B364">SUM(IF('[5]2013-2016 Projects'!$E$4:$E$202="electricity",'[5]2013-2016 Projects'!$V$4:$V$202,0))</f>
        <v>#REF!</v>
      </c>
      <c r="C364" s="318" t="e">
        <f t="array" ref="C364">SUM(IF('[5]2013-2016 Projects'!$E$4:$E$202="electricity",'[5]2013-2016 Projects'!$V$4:$V$202,0))</f>
        <v>#REF!</v>
      </c>
      <c r="D364" s="318">
        <f t="array" ref="D364">SUM(IF('2014-2017 Projects'!$J$5:$J$258="Electricity",'2014-2017 Projects'!$AG$5:$AG$258,0))</f>
        <v>12892331.879999999</v>
      </c>
      <c r="E364" s="318">
        <f t="array" ref="E364">SUM(IF('2014-2017 Projects'!$J$5:$J$258="Electricity",'2014-2017 Projects'!$AH$5:$AH$258,0))</f>
        <v>29084305</v>
      </c>
      <c r="F364" s="318">
        <f t="array" ref="F364">SUM(IF('2014-2017 Projects'!$J$5:$J$258="Electricity",'2014-2017 Projects'!$AI$5:$AI$258,0))</f>
        <v>41976636.879999995</v>
      </c>
      <c r="G364" s="318"/>
      <c r="H364" s="318">
        <f t="array" ref="H364">SUM(IF('2014-2017 Projects'!$J$5:$J$258="Electricity",'2014-2017 Projects'!$AK$5:$AK$258,0))</f>
        <v>134699000</v>
      </c>
      <c r="I364" s="318">
        <f t="array" ref="I364">SUM(IF('2014-2017 Projects'!$J$5:$J$258="Electricity",'2014-2017 Projects'!$AM$5:$AM$258,0))</f>
        <v>137747400</v>
      </c>
      <c r="J364" s="318">
        <f t="array" ref="J364">SUM(IF('2014-2017 Projects'!$J$5:$J$258="Electricity",'2014-2017 Projects'!$AN$5:$AN$258,0))</f>
        <v>34346</v>
      </c>
      <c r="K364" s="318">
        <f t="array" ref="K364">SUM(IF('2014-2017 Projects'!$J$5:$J$258="Electricity",'2014-2017 Projects'!$AP$5:$AP$258,0))</f>
        <v>34346</v>
      </c>
      <c r="L364" s="318">
        <f t="array" ref="L364">SUM(IF('2014-2017 Projects'!$J$5:$J$258="Electricity",'2014-2017 Projects'!$AQ$5:$AQ$258,0))</f>
        <v>966172.74</v>
      </c>
      <c r="M364" s="318">
        <f t="array" ref="M364">SUM(IF('2014-2017 Projects'!$J$5:$J$258="Electricity",'2014-2017 Projects'!$AS$5:$AS$258,0))</f>
        <v>984607.28</v>
      </c>
      <c r="N364" s="318">
        <f t="array" ref="N364">SUM(IF('2014-2017 Projects'!$J$5:$J$258="Electricity",'2014-2017 Projects'!$AT$5:$AT$258,0))</f>
        <v>8548369.4100000001</v>
      </c>
      <c r="O364" s="318">
        <f t="array" ref="O364">SUM(IF('2014-2017 Projects'!$J$5:$J$258="Electricity",'2014-2017 Projects'!$AV$5:$AV$258,0))</f>
        <v>9024179.8100000005</v>
      </c>
      <c r="P364" s="318">
        <f t="array" ref="P364">SUM(IF('2014-2017 Projects'!$J$5:$J$258="Electricity",'2014-2017 Projects'!$AW$5:$AW$258,0))</f>
        <v>19438470.710000001</v>
      </c>
      <c r="Q364" s="318">
        <f t="array" ref="Q364">SUM(IF('2014-2017 Projects'!$J$5:$J$258="Electricity",'2014-2017 Projects'!$AY$5:$AY$258,0))</f>
        <v>20377347.169999998</v>
      </c>
      <c r="R364" s="318"/>
      <c r="S364" s="318"/>
      <c r="T364" s="318"/>
      <c r="U364" s="318"/>
      <c r="V364" s="318"/>
      <c r="W364" s="318"/>
      <c r="X364" s="318"/>
      <c r="Y364" s="318"/>
      <c r="Z364" s="318"/>
      <c r="AA364" s="318"/>
      <c r="AB364" s="318"/>
      <c r="AC364" s="318"/>
      <c r="AD364" s="318"/>
      <c r="AE364" s="318"/>
      <c r="AF364" s="318"/>
      <c r="AG364" s="318"/>
      <c r="AH364" s="318">
        <f t="shared" si="73"/>
        <v>28987358.859999999</v>
      </c>
      <c r="AI364" s="318">
        <f t="shared" si="74"/>
        <v>30420480.259999998</v>
      </c>
      <c r="AJ364" s="318">
        <f t="array" ref="AJ364">SUM(IF('2014-2017 Projects'!$J$5:$J$258="Electricity",'2014-2017 Projects'!$BX$5:$BX$258,0))</f>
        <v>16898187.66</v>
      </c>
      <c r="AK364" s="318">
        <f t="shared" si="75"/>
        <v>108760041.14</v>
      </c>
      <c r="AL364" s="318">
        <f t="shared" si="76"/>
        <v>107326919.74000001</v>
      </c>
      <c r="AM364" s="390">
        <f t="shared" si="77"/>
        <v>0.21043851905734701</v>
      </c>
      <c r="AN364" s="390">
        <f t="shared" si="78"/>
        <v>0.2208425005481047</v>
      </c>
      <c r="AO364" s="318">
        <f t="array" ref="AO364">SUM(IF('2014-2017 Projects'!$J$5:$J$258="Electricity",'2014-2017 Projects'!$CG$5:$CG$258,0))</f>
        <v>142500000</v>
      </c>
      <c r="AP364" s="318">
        <f t="array" ref="AP364">SUM(IF('2014-2017 Projects'!$J$5:$J$258="Electricity",'2014-2017 Projects'!$CH$5:$CH$258,0))</f>
        <v>148500000</v>
      </c>
      <c r="AS364" s="141"/>
      <c r="AT364" s="141"/>
      <c r="AU364" s="281"/>
      <c r="AV364" s="281"/>
      <c r="AW364" s="281"/>
    </row>
    <row r="365" spans="1:49" x14ac:dyDescent="0.2">
      <c r="A365" s="169" t="s">
        <v>401</v>
      </c>
      <c r="B365" s="168" t="e">
        <f t="array" ref="B365">SUM(IF('[5]2013-2016 Projects'!$E$4:$E$202="Roads",'[5]2013-2016 Projects'!$V$4:$V$202,0))</f>
        <v>#REF!</v>
      </c>
      <c r="C365" s="168" t="e">
        <f t="array" ref="C365">SUM(IF('[5]2013-2016 Projects'!$E$4:$E$202="Roads",'[5]2013-2016 Projects'!$V$4:$V$202,0))</f>
        <v>#REF!</v>
      </c>
      <c r="D365" s="168">
        <f t="array" ref="D365">SUM(IF('2014-2017 Projects'!$J$5:$J$258="Roads",'2014-2017 Projects'!$AG$5:$AG$258,0))</f>
        <v>9000000</v>
      </c>
      <c r="E365" s="168">
        <f t="array" ref="E365">SUM(IF('2014-2017 Projects'!$J$5:$J$258="Roads",'2014-2017 Projects'!$AH$5:$AH$258,0))</f>
        <v>0</v>
      </c>
      <c r="F365" s="168">
        <f t="array" ref="F365">SUM(IF('2014-2017 Projects'!$J$5:$J$258="Roads",'2014-2017 Projects'!$AI$5:$AI$258,0))</f>
        <v>9000000</v>
      </c>
      <c r="G365" s="168"/>
      <c r="H365" s="168">
        <f t="array" ref="H365">SUM(IF('2014-2017 Projects'!$J$5:$J$258="Roads",'2014-2017 Projects'!$AK$5:$AK$258,0))</f>
        <v>188000000</v>
      </c>
      <c r="I365" s="168">
        <f t="array" ref="I365">SUM(IF('2014-2017 Projects'!$J$5:$J$258="Roads",'2014-2017 Projects'!$AM$5:$AM$258,0))</f>
        <v>188000000</v>
      </c>
      <c r="J365" s="168">
        <f t="array" ref="J365">SUM(IF('2014-2017 Projects'!$J$5:$J$258="Roads",'2014-2017 Projects'!$AN$5:$AN$258,0))</f>
        <v>-47814.16</v>
      </c>
      <c r="K365" s="168">
        <f t="array" ref="K365">SUM(IF('2014-2017 Projects'!$J$5:$J$258="Roads",'2014-2017 Projects'!$AP$5:$AP$258,0))</f>
        <v>-47814.16</v>
      </c>
      <c r="L365" s="168">
        <f t="array" ref="L365">SUM(IF('2014-2017 Projects'!$J$5:$J$258="Roads",'2014-2017 Projects'!$AQ$5:$AQ$258,0))</f>
        <v>9974048.5600000005</v>
      </c>
      <c r="M365" s="168">
        <f t="array" ref="M365">SUM(IF('2014-2017 Projects'!$J$5:$J$258="Roads",'2014-2017 Projects'!$AS$5:$AS$258,0))</f>
        <v>11314616.130000001</v>
      </c>
      <c r="N365" s="168">
        <f t="array" ref="N365">SUM(IF('2014-2017 Projects'!$J$5:$J$258="Roads",'2014-2017 Projects'!$AT$5:$AT$258,0))</f>
        <v>19383637.41</v>
      </c>
      <c r="O365" s="168">
        <f t="array" ref="O365">SUM(IF('2014-2017 Projects'!$J$5:$J$258="Roads",'2014-2017 Projects'!$AV$5:$AV$258,0))</f>
        <v>21311489.229999997</v>
      </c>
      <c r="P365" s="168">
        <f t="array" ref="P365">SUM(IF('2014-2017 Projects'!$J$5:$J$258="Roads",'2014-2017 Projects'!$AW$5:$AW$258,0))</f>
        <v>24278224.449999999</v>
      </c>
      <c r="Q365" s="168">
        <f t="array" ref="Q365">SUM(IF('2014-2017 Projects'!$J$5:$J$258="Roads",'2014-2017 Projects'!$AY$5:$AY$258,0))</f>
        <v>27513048.860000003</v>
      </c>
      <c r="R365" s="168"/>
      <c r="S365" s="168"/>
      <c r="T365" s="168"/>
      <c r="U365" s="168"/>
      <c r="V365" s="168"/>
      <c r="W365" s="168"/>
      <c r="X365" s="168"/>
      <c r="Y365" s="168"/>
      <c r="Z365" s="168"/>
      <c r="AA365" s="168"/>
      <c r="AB365" s="168"/>
      <c r="AC365" s="168"/>
      <c r="AD365" s="168"/>
      <c r="AE365" s="168"/>
      <c r="AF365" s="168"/>
      <c r="AG365" s="168"/>
      <c r="AH365" s="318">
        <f t="shared" si="73"/>
        <v>53588096.260000005</v>
      </c>
      <c r="AI365" s="318">
        <f t="shared" si="74"/>
        <v>60091340.060000002</v>
      </c>
      <c r="AJ365" s="168">
        <f t="array" ref="AJ365">SUM(IF('2014-2017 Projects'!$J$5:$J$258="Roads",'2014-2017 Projects'!$BX$5:$BX$258,0))</f>
        <v>12115133.68</v>
      </c>
      <c r="AK365" s="318">
        <f t="shared" si="75"/>
        <v>134411903.74000001</v>
      </c>
      <c r="AL365" s="318">
        <f t="shared" si="76"/>
        <v>127908659.94</v>
      </c>
      <c r="AM365" s="390">
        <f t="shared" si="77"/>
        <v>0.28504306521276601</v>
      </c>
      <c r="AN365" s="390">
        <f t="shared" si="78"/>
        <v>0.31963478755319152</v>
      </c>
      <c r="AO365" s="168">
        <f t="array" ref="AO365">SUM(IF('2014-2017 Projects'!$J$5:$J$258="Roads",'2014-2017 Projects'!$CG$5:$CG$258,0))</f>
        <v>515000000</v>
      </c>
      <c r="AP365" s="168">
        <f t="array" ref="AP365">SUM(IF('2014-2017 Projects'!$J$5:$J$258="Roads",'2014-2017 Projects'!$CH$5:$CH$258,0))</f>
        <v>470000000</v>
      </c>
    </row>
    <row r="366" spans="1:49" x14ac:dyDescent="0.2">
      <c r="A366" s="232" t="s">
        <v>13</v>
      </c>
      <c r="B366" s="168" t="e">
        <f t="array" ref="B366">SUM(IF('[5]2013-2016 Projects'!$E$4:$E$202="Housing",'[5]2013-2016 Projects'!$V$4:$V$202,0))</f>
        <v>#REF!</v>
      </c>
      <c r="C366" s="168" t="e">
        <f t="array" ref="C366">SUM(IF('[5]2013-2016 Projects'!$E$4:$E$202="Housing",'[5]2013-2016 Projects'!$V$4:$V$202,0))</f>
        <v>#REF!</v>
      </c>
      <c r="D366" s="168">
        <f t="array" ref="D366">SUM(IF('2014-2017 Projects'!$J$5:$J$258="Housing",'2014-2017 Projects'!$AG$5:$AG$258,0))</f>
        <v>81695940</v>
      </c>
      <c r="E366" s="168">
        <f t="array" ref="E366">SUM(IF('2014-2017 Projects'!$J$5:$J$258="Housing",'2014-2017 Projects'!$AH$5:$AH$258,0))</f>
        <v>-800000</v>
      </c>
      <c r="F366" s="168">
        <f t="array" ref="F366">SUM(IF('2014-2017 Projects'!$J$5:$J$258="Housing",'2014-2017 Projects'!$AI$5:$AI$258,0))</f>
        <v>80895940</v>
      </c>
      <c r="G366" s="168"/>
      <c r="H366" s="168">
        <f t="array" ref="H366">SUM(IF('2014-2017 Projects'!$J$5:$J$258="Housing",'2014-2017 Projects'!$AK$5:$AK$258,0))</f>
        <v>89636108</v>
      </c>
      <c r="I366" s="168">
        <f t="array" ref="I366">SUM(IF('2014-2017 Projects'!$J$5:$J$258="Housing",'2014-2017 Projects'!$AM$5:$AM$258,0))</f>
        <v>100776115</v>
      </c>
      <c r="J366" s="168">
        <f t="array" ref="J366">SUM(IF('2014-2017 Projects'!$J$5:$J$258="Housing",'2014-2017 Projects'!$AN$5:$AN$258,0))</f>
        <v>4419423.2700000005</v>
      </c>
      <c r="K366" s="168">
        <f t="array" ref="K366">SUM(IF('2014-2017 Projects'!$J$5:$J$258="Housing",'2014-2017 Projects'!$AP$5:$AP$258,0))</f>
        <v>4723842.5200000005</v>
      </c>
      <c r="L366" s="168">
        <f t="array" ref="L366">SUM(IF('2014-2017 Projects'!$J$5:$J$258="Housing",'2014-2017 Projects'!$AQ$5:$AQ$258,0))</f>
        <v>7514624.7000000011</v>
      </c>
      <c r="M366" s="168">
        <f t="array" ref="M366">SUM(IF('2014-2017 Projects'!$J$5:$J$258="Housing",'2014-2017 Projects'!$AS$5:$AS$258,0))</f>
        <v>8063055.4700000007</v>
      </c>
      <c r="N366" s="168">
        <f t="array" ref="N366">SUM(IF('2014-2017 Projects'!$J$5:$J$258="Housing",'2014-2017 Projects'!$AT$5:$AT$258,0))</f>
        <v>9250670.4900000002</v>
      </c>
      <c r="O366" s="168">
        <f t="array" ref="O366">SUM(IF('2014-2017 Projects'!$J$5:$J$258="Housing",'2014-2017 Projects'!$AV$5:$AV$258,0))</f>
        <v>10022887.199999999</v>
      </c>
      <c r="P366" s="168">
        <f t="array" ref="P366">SUM(IF('2014-2017 Projects'!$J$5:$J$258="Housing",'2014-2017 Projects'!$AW$5:$AW$258,0))</f>
        <v>14732515.109999999</v>
      </c>
      <c r="Q366" s="168">
        <f t="array" ref="Q366">SUM(IF('2014-2017 Projects'!$J$5:$J$258="Housing",'2014-2017 Projects'!$AY$5:$AY$258,0))</f>
        <v>15423708.66</v>
      </c>
      <c r="R366" s="168"/>
      <c r="S366" s="168"/>
      <c r="T366" s="168"/>
      <c r="U366" s="168"/>
      <c r="V366" s="168"/>
      <c r="W366" s="168"/>
      <c r="X366" s="168"/>
      <c r="Y366" s="168"/>
      <c r="Z366" s="168"/>
      <c r="AA366" s="168"/>
      <c r="AB366" s="168"/>
      <c r="AC366" s="168"/>
      <c r="AD366" s="168"/>
      <c r="AE366" s="168"/>
      <c r="AF366" s="168"/>
      <c r="AG366" s="168"/>
      <c r="AH366" s="318">
        <f>J366+L366+N366+P366+R366+T366+V366+X366+Z366+AB366+AD366+AF366</f>
        <v>35917233.57</v>
      </c>
      <c r="AI366" s="318">
        <f t="shared" si="74"/>
        <v>38233493.850000001</v>
      </c>
      <c r="AJ366" s="168">
        <f t="array" ref="AJ366">SUM(IF('2014-2017 Projects'!$J$5:$J$258="Housing",'2014-2017 Projects'!$BX$5:$BX$258,0))</f>
        <v>226959.32</v>
      </c>
      <c r="AK366" s="318">
        <f t="shared" si="75"/>
        <v>64858881.43</v>
      </c>
      <c r="AL366" s="318">
        <f t="shared" si="76"/>
        <v>62542621.149999999</v>
      </c>
      <c r="AM366" s="390">
        <f t="shared" si="77"/>
        <v>0.35640621361520042</v>
      </c>
      <c r="AN366" s="390">
        <f t="shared" si="78"/>
        <v>0.37939043244522774</v>
      </c>
      <c r="AO366" s="168">
        <f t="array" ref="AO366">SUM(IF('2014-2017 Projects'!$J$5:$J$258="Housing",'2014-2017 Projects'!$CG$5:$CG$258,0))</f>
        <v>162468500</v>
      </c>
      <c r="AP366" s="168">
        <f t="array" ref="AP366">SUM(IF('2014-2017 Projects'!$J$5:$J$258="Housing",'2014-2017 Projects'!$CH$5:$CH$258,0))</f>
        <v>266264685</v>
      </c>
    </row>
    <row r="367" spans="1:49" x14ac:dyDescent="0.2">
      <c r="A367" s="233" t="s">
        <v>439</v>
      </c>
      <c r="B367" s="168" t="e">
        <f t="array" ref="B367">SUM(IF('[5]2013-2016 Projects'!$E$4:$E$202="Planning and Development",'[5]2013-2016 Projects'!$V$4:$V$202,0))</f>
        <v>#REF!</v>
      </c>
      <c r="C367" s="168" t="e">
        <f t="array" ref="C367">SUM(IF('[5]2013-2016 Projects'!$E$4:$E$202="Planning and Development",'[5]2013-2016 Projects'!$V$4:$V$202,0))</f>
        <v>#REF!</v>
      </c>
      <c r="D367" s="168">
        <f t="array" ref="D367">SUM(IF('2014-2017 Projects'!$J$5:$J$258="Planning and development",'2014-2017 Projects'!$AG$5:$AG$258,0))</f>
        <v>22000000</v>
      </c>
      <c r="E367" s="168">
        <f t="array" ref="E367">SUM(IF('2014-2017 Projects'!$J$5:$J$258="Planning and development",'2014-2017 Projects'!$AH$5:$AH$258,0))</f>
        <v>800000</v>
      </c>
      <c r="F367" s="168">
        <f t="array" ref="F367">SUM(IF('2014-2017 Projects'!$J$5:$J$258="Planning and development",'2014-2017 Projects'!$AI$5:$AI$258,0))</f>
        <v>22800000</v>
      </c>
      <c r="G367" s="168"/>
      <c r="H367" s="168">
        <f t="array" ref="H367">SUM(IF('2014-2017 Projects'!$J$5:$J$258="Planning and development",'2014-2017 Projects'!$AK$5:$AK$258,0))</f>
        <v>54895288</v>
      </c>
      <c r="I367" s="168">
        <f t="array" ref="I367">SUM(IF('2014-2017 Projects'!$J$5:$J$258="Planning and development",'2014-2017 Projects'!$AM$5:$AM$258,0))</f>
        <v>56551207</v>
      </c>
      <c r="J367" s="168">
        <f t="array" ref="J367">SUM(IF('2014-2017 Projects'!$J$5:$J$258="Planning and development",'2014-2017 Projects'!$AN$5:$AN$258,0))</f>
        <v>52995</v>
      </c>
      <c r="K367" s="168">
        <f t="array" ref="K367">SUM(IF('2014-2017 Projects'!$J$5:$J$258="Planning and development",'2014-2017 Projects'!$AP$5:$AP$258,0))</f>
        <v>54571.4</v>
      </c>
      <c r="L367" s="168">
        <f t="array" ref="L367">SUM(IF('2014-2017 Projects'!$J$5:$J$258="Planning and development",'2014-2017 Projects'!$AQ$5:$AQ$258,0))</f>
        <v>2901318.5</v>
      </c>
      <c r="M367" s="168">
        <f t="array" ref="M367">SUM(IF('2014-2017 Projects'!$J$5:$J$258="Planning and development",'2014-2017 Projects'!$AS$5:$AS$258,0))</f>
        <v>3177418.3</v>
      </c>
      <c r="N367" s="168">
        <f t="array" ref="N367">SUM(IF('2014-2017 Projects'!$J$5:$J$258="Planning and development",'2014-2017 Projects'!$AT$5:$AT$258,0))</f>
        <v>2096477.84</v>
      </c>
      <c r="O367" s="168">
        <f t="array" ref="O367">SUM(IF('2014-2017 Projects'!$J$5:$J$258="Planning and development",'2014-2017 Projects'!$AV$5:$AV$258,0))</f>
        <v>2325205.8099999996</v>
      </c>
      <c r="P367" s="168">
        <f t="array" ref="P367">SUM(IF('2014-2017 Projects'!$J$5:$J$258="Planning and development",'2014-2017 Projects'!$AW$5:$AW$258,0))</f>
        <v>1406454.44</v>
      </c>
      <c r="Q367" s="168">
        <f t="array" ref="Q367">SUM(IF('2014-2017 Projects'!$J$5:$J$258="Planning and development",'2014-2017 Projects'!$AY$5:$AY$258,0))</f>
        <v>1408030.84</v>
      </c>
      <c r="R367" s="168"/>
      <c r="S367" s="168"/>
      <c r="T367" s="168"/>
      <c r="U367" s="168"/>
      <c r="V367" s="168"/>
      <c r="W367" s="168"/>
      <c r="X367" s="168"/>
      <c r="Y367" s="168"/>
      <c r="Z367" s="168"/>
      <c r="AA367" s="168"/>
      <c r="AB367" s="168"/>
      <c r="AC367" s="168"/>
      <c r="AD367" s="168"/>
      <c r="AE367" s="168"/>
      <c r="AF367" s="168"/>
      <c r="AG367" s="168"/>
      <c r="AH367" s="318">
        <f t="shared" si="73"/>
        <v>6457245.7799999993</v>
      </c>
      <c r="AI367" s="318">
        <f t="shared" si="74"/>
        <v>6965226.3499999996</v>
      </c>
      <c r="AJ367" s="168">
        <f t="array" ref="AJ367">SUM(IF('2014-2017 Projects'!$J$5:$J$258="Planning and development",'2014-2017 Projects'!$BX$5:$BX$258,0))</f>
        <v>11221667.58</v>
      </c>
      <c r="AK367" s="318">
        <f t="shared" si="75"/>
        <v>50093961.219999999</v>
      </c>
      <c r="AL367" s="318">
        <f t="shared" si="76"/>
        <v>49585980.649999999</v>
      </c>
      <c r="AM367" s="390">
        <f t="shared" si="77"/>
        <v>0.11418404880376823</v>
      </c>
      <c r="AN367" s="390">
        <f t="shared" si="78"/>
        <v>0.12316671419586145</v>
      </c>
      <c r="AO367" s="168">
        <f t="array" ref="AO367">SUM(IF('2014-2017 Projects'!$J$5:$J$258="Planning and development",'2014-2017 Projects'!$CG$5:$CG$258,0))</f>
        <v>52220661</v>
      </c>
      <c r="AP367" s="168">
        <f t="array" ref="AP367">SUM(IF('2014-2017 Projects'!$J$5:$J$258="Planning and development",'2014-2017 Projects'!$CH$5:$CH$258,0))</f>
        <v>83655051</v>
      </c>
    </row>
    <row r="368" spans="1:49" x14ac:dyDescent="0.2">
      <c r="A368" s="169" t="s">
        <v>441</v>
      </c>
      <c r="B368" s="168" t="e">
        <f t="array" ref="B368">SUM(IF('[5]2013-2016 Projects'!$E$4:$E$202="Cleansing",'[5]2013-2016 Projects'!$V$4:$V$202,0))</f>
        <v>#REF!</v>
      </c>
      <c r="C368" s="168" t="e">
        <f t="array" ref="C368">SUM(IF('[5]2013-2016 Projects'!$E$4:$E$202="Cleansing",'[5]2013-2016 Projects'!$V$4:$V$202,0))</f>
        <v>#REF!</v>
      </c>
      <c r="D368" s="168">
        <f t="array" ref="D368">SUM(IF('2014-2017 Projects'!$J$5:$J$258="Waste Management",'2014-2017 Projects'!$AG$5:$AG$258,0))</f>
        <v>14240000</v>
      </c>
      <c r="E368" s="168">
        <f t="array" ref="E368">SUM(IF('2014-2017 Projects'!$J$5:$J$258="Waste Management",'2014-2017 Projects'!$AH$5:$AH$258,0))</f>
        <v>0</v>
      </c>
      <c r="F368" s="168">
        <f t="array" ref="F368">SUM(IF('2014-2017 Projects'!$J$5:$J$258="Waste Management",'2014-2017 Projects'!$AI$5:$AI$258,0))</f>
        <v>14240000</v>
      </c>
      <c r="G368" s="168">
        <f t="array" ref="G368">SUM(IF('2014-2017 Projects'!$J$5:$J$258="Waste Management",'2014-2017 Projects'!$AG$5:$AG$258,0))</f>
        <v>14240000</v>
      </c>
      <c r="H368" s="168">
        <f t="array" ref="H368">SUM(IF('2014-2017 Projects'!$J$5:$J$258="Waste Management",'2014-2017 Projects'!$AK$5:$AK$258,0))</f>
        <v>36300000</v>
      </c>
      <c r="I368" s="168">
        <f t="array" ref="I368">SUM(IF('2014-2017 Projects'!$J$5:$J$258="Waste Management",'2014-2017 Projects'!$AM$5:$AM$258,0))</f>
        <v>95783621</v>
      </c>
      <c r="J368" s="168">
        <f t="array" ref="J368">SUM(IF('2014-2017 Projects'!$J$5:$J$258="Waste Management",'2014-2017 Projects'!$AN$5:$AN$258,0))</f>
        <v>0</v>
      </c>
      <c r="K368" s="168">
        <f t="array" ref="K368">SUM(IF('2014-2017 Projects'!$J$5:$J$258="Waste Management",'2014-2017 Projects'!$AP$5:$AP$258,0))</f>
        <v>0</v>
      </c>
      <c r="L368" s="168">
        <f t="array" ref="L368">SUM(IF('2014-2017 Projects'!$J$5:$J$258="Waste Management",'2014-2017 Projects'!$AQ$5:$AQ$258,0))</f>
        <v>645222.42000000004</v>
      </c>
      <c r="M368" s="168">
        <f t="array" ref="M368">SUM(IF('2014-2017 Projects'!$J$5:$J$258="Waste Management",'2014-2017 Projects'!$AS$5:$AS$258,0))</f>
        <v>645779.06000000006</v>
      </c>
      <c r="N368" s="168">
        <f t="array" ref="N368">SUM(IF('2014-2017 Projects'!$J$5:$J$258="Waste Management",'2014-2017 Projects'!$AT$5:$AT$258,0))</f>
        <v>2450643.0699999998</v>
      </c>
      <c r="O368" s="168">
        <f t="array" ref="O368">SUM(IF('2014-2017 Projects'!$J$5:$J$258="Waste Management",'2014-2017 Projects'!$AV$5:$AV$258,0))</f>
        <v>2450643.0699999998</v>
      </c>
      <c r="P368" s="168">
        <f t="array" ref="P368">SUM(IF('2014-2017 Projects'!$J$5:$J$258="Waste Management",'2014-2017 Projects'!$AW$5:$AW$258,0))</f>
        <v>2238657.9500000002</v>
      </c>
      <c r="Q368" s="168">
        <f t="array" ref="Q368">SUM(IF('2014-2017 Projects'!$J$5:$J$258="Waste Management",'2014-2017 Projects'!$AY$5:$AY$258,0))</f>
        <v>2238657.9500000002</v>
      </c>
      <c r="R368" s="168"/>
      <c r="S368" s="168"/>
      <c r="T368" s="168"/>
      <c r="U368" s="168"/>
      <c r="V368" s="168"/>
      <c r="W368" s="168"/>
      <c r="X368" s="168"/>
      <c r="Y368" s="168"/>
      <c r="Z368" s="168"/>
      <c r="AA368" s="168"/>
      <c r="AB368" s="168"/>
      <c r="AC368" s="168"/>
      <c r="AD368" s="168"/>
      <c r="AE368" s="168"/>
      <c r="AF368" s="168"/>
      <c r="AG368" s="168"/>
      <c r="AH368" s="318">
        <f t="shared" si="73"/>
        <v>5334523.4399999995</v>
      </c>
      <c r="AI368" s="318">
        <f t="shared" si="74"/>
        <v>5335080.08</v>
      </c>
      <c r="AJ368" s="168">
        <f t="array" ref="AJ368">SUM(IF('2014-2017 Projects'!$J$5:$J$258="Waste Management",'2014-2017 Projects'!$BX$5:$BX$258,0))</f>
        <v>18996936.619999997</v>
      </c>
      <c r="AK368" s="318">
        <f t="shared" si="75"/>
        <v>90449097.560000002</v>
      </c>
      <c r="AL368" s="318">
        <f t="shared" si="76"/>
        <v>90448540.920000002</v>
      </c>
      <c r="AM368" s="390">
        <f t="shared" si="77"/>
        <v>5.5693482709324588E-2</v>
      </c>
      <c r="AN368" s="390">
        <f t="shared" si="78"/>
        <v>5.5699294141322971E-2</v>
      </c>
      <c r="AO368" s="168">
        <f t="array" ref="AO368">SUM(IF('2014-2017 Projects'!$J$5:$J$258="Waste Management",'2014-2017 Projects'!$CG$5:$CG$258,0))</f>
        <v>36710100</v>
      </c>
      <c r="AP368" s="168">
        <f t="array" ref="AP368">SUM(IF('2014-2017 Projects'!$J$5:$J$258="Waste Management",'2014-2017 Projects'!$CH$5:$CH$258,0))</f>
        <v>30412415</v>
      </c>
    </row>
    <row r="369" spans="1:44" x14ac:dyDescent="0.2">
      <c r="A369" s="169" t="s">
        <v>75</v>
      </c>
      <c r="B369" s="168" t="e">
        <f t="array" ref="B369">SUM(IF('[5]2013-2016 Projects'!$E$4:$E$202="Amenities",'[5]2013-2016 Projects'!$V$4:$V$202,0))</f>
        <v>#REF!</v>
      </c>
      <c r="C369" s="168" t="e">
        <f t="array" ref="C369">SUM(IF('[5]2013-2016 Projects'!$E$4:$E$202="Amenities",'[5]2013-2016 Projects'!$V$4:$V$202,0))</f>
        <v>#REF!</v>
      </c>
      <c r="D369" s="168">
        <f t="array" ref="D369">SUM(IF('2014-2017 Projects'!$J$5:$J$258="Amenities",'2014-2017 Projects'!$AG$5:$AG$258,0))</f>
        <v>22800000</v>
      </c>
      <c r="E369" s="168">
        <f t="array" ref="E369">SUM(IF('2014-2017 Projects'!$J$5:$J$258="Amenities",'2014-2017 Projects'!$AH$5:$AH$258,0))</f>
        <v>-15884413</v>
      </c>
      <c r="F369" s="168">
        <f t="array" ref="F369">SUM(IF('2014-2017 Projects'!$J$5:$J$258="Amenities",'2014-2017 Projects'!$AI$5:$AI$258,0))</f>
        <v>6915587</v>
      </c>
      <c r="G369" s="168">
        <f t="array" ref="G369">SUM(IF('2014-2017 Projects'!$J$5:$J$258="Waste Management",'2014-2017 Projects'!$AG$5:$AG$258,0))</f>
        <v>14240000</v>
      </c>
      <c r="H369" s="168">
        <f t="array" ref="H369">SUM(IF('2014-2017 Projects'!$J$5:$J$258="Amenities",'2014-2017 Projects'!$AK$5:$AK$258,0))</f>
        <v>40030409</v>
      </c>
      <c r="I369" s="168">
        <f t="array" ref="I369">SUM(IF('2014-2017 Projects'!$J$5:$J$258="Amenities",'2014-2017 Projects'!$AM$5:$AM$258,0))</f>
        <v>57818502</v>
      </c>
      <c r="J369" s="168">
        <f t="array" ref="J369">SUM(IF('2014-2017 Projects'!$J$5:$J$258="Amenities",'2014-2017 Projects'!$AN$5:$AN$258,0))</f>
        <v>0</v>
      </c>
      <c r="K369" s="168">
        <f t="array" ref="K369">SUM(IF('2014-2017 Projects'!$J$5:$J$258="Amenities",'2014-2017 Projects'!$AP$5:$AP$258,0))</f>
        <v>0</v>
      </c>
      <c r="L369" s="168">
        <f t="array" ref="L369">SUM(IF('2014-2017 Projects'!$J$5:$J$258="Amenities",'2014-2017 Projects'!$AQ$5:$AQ$258,0))</f>
        <v>237492.13</v>
      </c>
      <c r="M369" s="168">
        <f t="array" ref="M369">SUM(IF('2014-2017 Projects'!$J$5:$J$258="Amenities",'2014-2017 Projects'!$AS$5:$AS$258,0))</f>
        <v>242755.03</v>
      </c>
      <c r="N369" s="168">
        <f t="array" ref="N369">SUM(IF('2014-2017 Projects'!$J$5:$J$258="Amenities",'2014-2017 Projects'!$AT$5:$AT$258,0))</f>
        <v>1063302.4100000001</v>
      </c>
      <c r="O369" s="168">
        <f t="array" ref="O369">SUM(IF('2014-2017 Projects'!$J$5:$J$258="Amenities",'2014-2017 Projects'!$AV$5:$AV$258,0))</f>
        <v>1080596.3999999999</v>
      </c>
      <c r="P369" s="168">
        <f t="array" ref="P369">SUM(IF('2014-2017 Projects'!$J$5:$J$258="Amenities",'2014-2017 Projects'!$AW$5:$AW$258,0))</f>
        <v>1326884.2599999998</v>
      </c>
      <c r="Q369" s="168">
        <f t="array" ref="Q369">SUM(IF('2014-2017 Projects'!$J$5:$J$258="Amenities",'2014-2017 Projects'!$AY$5:$AY$258,0))</f>
        <v>1463807.87</v>
      </c>
      <c r="R369" s="168"/>
      <c r="S369" s="168"/>
      <c r="T369" s="168"/>
      <c r="U369" s="168"/>
      <c r="V369" s="168"/>
      <c r="W369" s="168"/>
      <c r="X369" s="168"/>
      <c r="Y369" s="168"/>
      <c r="Z369" s="168"/>
      <c r="AA369" s="168"/>
      <c r="AB369" s="168"/>
      <c r="AC369" s="168"/>
      <c r="AD369" s="168"/>
      <c r="AE369" s="168"/>
      <c r="AF369" s="168"/>
      <c r="AG369" s="168"/>
      <c r="AH369" s="318">
        <f t="shared" si="73"/>
        <v>2627678.7999999998</v>
      </c>
      <c r="AI369" s="318">
        <f t="shared" si="74"/>
        <v>2787159.3</v>
      </c>
      <c r="AJ369" s="168">
        <f t="array" ref="AJ369">SUM(IF('2014-2017 Projects'!$J$5:$J$258="Amenities",'2014-2017 Projects'!$BX$5:$BX$258,0))</f>
        <v>5193206.5199999996</v>
      </c>
      <c r="AK369" s="318">
        <f t="shared" si="75"/>
        <v>55190823.200000003</v>
      </c>
      <c r="AL369" s="318">
        <f t="shared" si="76"/>
        <v>55031342.700000003</v>
      </c>
      <c r="AM369" s="390">
        <f t="shared" si="77"/>
        <v>4.5447023169157857E-2</v>
      </c>
      <c r="AN369" s="390">
        <f t="shared" si="78"/>
        <v>4.820531842903851E-2</v>
      </c>
      <c r="AO369" s="168">
        <f t="array" ref="AO369">SUM(IF('2014-2017 Projects'!$J$5:$J$258="Amenities",'2014-2017 Projects'!$CG$5:$CG$258,0))</f>
        <v>30750000</v>
      </c>
      <c r="AP369" s="168">
        <f t="array" ref="AP369">SUM(IF('2014-2017 Projects'!$J$5:$J$258="Amenities",'2014-2017 Projects'!$CH$5:$CH$258,0))</f>
        <v>28750000</v>
      </c>
    </row>
    <row r="370" spans="1:44" x14ac:dyDescent="0.2">
      <c r="A370" s="169" t="s">
        <v>74</v>
      </c>
      <c r="B370" s="168" t="e">
        <f t="array" ref="B370">SUM(IF('[5]2013-2016 Projects'!$E$4:$E$202="Environmental Services",'[5]2013-2016 Projects'!$V$4:$V$202,0))</f>
        <v>#REF!</v>
      </c>
      <c r="C370" s="168" t="e">
        <f t="array" ref="C370">SUM(IF('[5]2013-2016 Projects'!$E$4:$E$202="Environmental Services",'[5]2013-2016 Projects'!$V$4:$V$202,0))</f>
        <v>#REF!</v>
      </c>
      <c r="D370" s="168">
        <f t="array" ref="D370">SUM(IF('2014-2017 Projects'!$J$5:$J$258="Environmental Services",'2014-2017 Projects'!$AG$5:$AG$258,0))</f>
        <v>11040943</v>
      </c>
      <c r="E370" s="168">
        <f t="array" ref="E370">SUM(IF('2014-2017 Projects'!$J$5:$J$258="Environmental Services",'2014-2017 Projects'!$AH$5:$AH$258,0))</f>
        <v>7500000</v>
      </c>
      <c r="F370" s="168">
        <f t="array" ref="F370">SUM(IF('2014-2017 Projects'!$J$5:$J$258="Environmental Services",'2014-2017 Projects'!$AI$5:$AI$258,0))</f>
        <v>18540943</v>
      </c>
      <c r="G370" s="168">
        <f t="array" ref="G370">SUM(IF('2014-2017 Projects'!$J$5:$J$258="Waste Management",'2014-2017 Projects'!$AG$5:$AG$258,0))</f>
        <v>14240000</v>
      </c>
      <c r="H370" s="168">
        <f t="array" ref="H370">SUM(IF('2014-2017 Projects'!$J$5:$J$258="Environmental Services",'2014-2017 Projects'!$AK$5:$AK$258,0))</f>
        <v>10000000</v>
      </c>
      <c r="I370" s="168">
        <f t="array" ref="I370">SUM(IF('2014-2017 Projects'!$J$5:$J$258="Environmental Services",'2014-2017 Projects'!$AM$5:$AM$258,0))</f>
        <v>10000000</v>
      </c>
      <c r="J370" s="168">
        <f t="array" ref="J370">SUM(IF('2014-2017 Projects'!$J$5:$J$258="Environmental Services",'2014-2017 Projects'!$AN$5:$AN$258,0))</f>
        <v>0</v>
      </c>
      <c r="K370" s="168">
        <f t="array" ref="K370">SUM(IF('2014-2017 Projects'!$J$5:$J$258="Environmental Services",'2014-2017 Projects'!$AP$5:$AP$258,0))</f>
        <v>0</v>
      </c>
      <c r="L370" s="168">
        <f t="array" ref="L370">SUM(IF('2014-2017 Projects'!$J$5:$J$258="Environmental Services",'2014-2017 Projects'!$AQ$5:$AQ$258,0))</f>
        <v>0</v>
      </c>
      <c r="M370" s="168">
        <f t="array" ref="M370">SUM(IF('2014-2017 Projects'!$J$5:$J$258="Environmental Services",'2014-2017 Projects'!$AS$5:$AS$258,0))</f>
        <v>0</v>
      </c>
      <c r="N370" s="168">
        <f t="array" ref="N370">SUM(IF('2014-2017 Projects'!$J$5:$J$258="Environmental Services",'2014-2017 Projects'!$AT$5:$AT$258,0))</f>
        <v>0</v>
      </c>
      <c r="O370" s="168">
        <f t="array" ref="O370">SUM(IF('2014-2017 Projects'!$J$5:$J$258="Environmental Services",'2014-2017 Projects'!$AV$5:$AV$258,0))</f>
        <v>0</v>
      </c>
      <c r="P370" s="168">
        <f t="array" ref="P370">SUM(IF('2014-2017 Projects'!$J$5:$J$258="Environmental Services",'2014-2017 Projects'!$AW$5:$AW$258,0))</f>
        <v>0</v>
      </c>
      <c r="Q370" s="168">
        <f t="array" ref="Q370">SUM(IF('2014-2017 Projects'!$J$5:$J$258="Environmental Services",'2014-2017 Projects'!$AY$5:$AY$258,0))</f>
        <v>0</v>
      </c>
      <c r="R370" s="168"/>
      <c r="S370" s="168"/>
      <c r="T370" s="168"/>
      <c r="U370" s="168"/>
      <c r="V370" s="168"/>
      <c r="W370" s="168"/>
      <c r="X370" s="168"/>
      <c r="Y370" s="168"/>
      <c r="Z370" s="168"/>
      <c r="AA370" s="168"/>
      <c r="AB370" s="168"/>
      <c r="AC370" s="168"/>
      <c r="AD370" s="168"/>
      <c r="AE370" s="168"/>
      <c r="AF370" s="168"/>
      <c r="AG370" s="168"/>
      <c r="AH370" s="318">
        <f t="shared" si="73"/>
        <v>0</v>
      </c>
      <c r="AI370" s="318">
        <f t="shared" si="74"/>
        <v>0</v>
      </c>
      <c r="AJ370" s="168">
        <f t="array" ref="AJ370">SUM(IF('2014-2017 Projects'!$J$5:$J$258="Environmental Services",'2014-2017 Projects'!$BX$5:$BX$258,0))</f>
        <v>5415228.2400000002</v>
      </c>
      <c r="AK370" s="318">
        <f t="shared" si="75"/>
        <v>10000000</v>
      </c>
      <c r="AL370" s="318">
        <f t="shared" si="76"/>
        <v>10000000</v>
      </c>
      <c r="AM370" s="390">
        <f t="shared" si="77"/>
        <v>0</v>
      </c>
      <c r="AN370" s="390">
        <f t="shared" si="78"/>
        <v>0</v>
      </c>
      <c r="AO370" s="168">
        <f t="array" ref="AO370">SUM(IF('2014-2017 Projects'!$J$5:$J$258="Environmental Services",'2014-2017 Projects'!$CG$5:$CG$258,0))</f>
        <v>8000000</v>
      </c>
      <c r="AP370" s="168">
        <f t="array" ref="AP370">SUM(IF('2014-2017 Projects'!$J$5:$J$258="Environmental Services",'2014-2017 Projects'!$CH$5:$CH$258,0))</f>
        <v>8000000</v>
      </c>
    </row>
    <row r="371" spans="1:44" x14ac:dyDescent="0.2">
      <c r="A371" s="169" t="s">
        <v>76</v>
      </c>
      <c r="B371" s="168" t="e">
        <f t="array" ref="B371">SUM(IF('[5]2013-2016 Projects'!$E$4:$E$202="Health",'[5]2013-2016 Projects'!$V$4:$V$202,0))</f>
        <v>#REF!</v>
      </c>
      <c r="C371" s="168" t="e">
        <f t="array" ref="C371">SUM(IF('[5]2013-2016 Projects'!$E$4:$E$202="Health",'[5]2013-2016 Projects'!$V$4:$V$202,0))</f>
        <v>#REF!</v>
      </c>
      <c r="D371" s="168">
        <f t="array" ref="D371">SUM(IF('2014-2017 Projects'!$J$5:$J$258="Health Services",'2014-2017 Projects'!$AG$5:$AG$258,0))</f>
        <v>0</v>
      </c>
      <c r="E371" s="168">
        <f t="array" ref="E371">SUM(IF('2014-2017 Projects'!$J$5:$J$258="Health Services",'2014-2017 Projects'!$AH$5:$AH$258,0))</f>
        <v>0</v>
      </c>
      <c r="F371" s="168">
        <f t="array" ref="F371">SUM(IF('2014-2017 Projects'!$J$5:$J$258="Health Services",'2014-2017 Projects'!$AI$5:$AI$258,0))</f>
        <v>0</v>
      </c>
      <c r="G371" s="168">
        <f t="array" ref="G371">SUM(IF('2014-2017 Projects'!$J$5:$J$258="Waste Management",'2014-2017 Projects'!$AG$5:$AG$258,0))</f>
        <v>14240000</v>
      </c>
      <c r="H371" s="168">
        <f t="array" ref="H371">SUM(IF('2014-2017 Projects'!$J$5:$J$258="Health Services",'2014-2017 Projects'!$AK$5:$AK$258,0))</f>
        <v>0</v>
      </c>
      <c r="I371" s="168">
        <f t="array" ref="I371">SUM(IF('2014-2017 Projects'!$J$5:$J$258="Health Services",'2014-2017 Projects'!$AM$5:$AM$258,0))</f>
        <v>0</v>
      </c>
      <c r="J371" s="168">
        <f t="array" ref="J371">SUM(IF('2014-2017 Projects'!$J$5:$J$258="Health Services",'2014-2017 Projects'!$AN$5:$AN$258,0))</f>
        <v>0</v>
      </c>
      <c r="K371" s="168">
        <f t="array" ref="K371">SUM(IF('2014-2017 Projects'!$J$5:$J$258="Health Services",'2014-2017 Projects'!$AP$5:$AP$258,0))</f>
        <v>0</v>
      </c>
      <c r="L371" s="168">
        <f t="array" ref="L371">SUM(IF('2014-2017 Projects'!$J$5:$J$258="Health Services",'2014-2017 Projects'!$AQ$5:$AQ$258,0))</f>
        <v>0</v>
      </c>
      <c r="M371" s="168">
        <f t="array" ref="M371">SUM(IF('2014-2017 Projects'!$J$5:$J$258="Health Services",'2014-2017 Projects'!$AS$5:$AS$258,0))</f>
        <v>0</v>
      </c>
      <c r="N371" s="168">
        <f t="array" ref="N371">SUM(IF('2014-2017 Projects'!$J$5:$J$258="Health Services",'2014-2017 Projects'!$AT$5:$AT$258,0))</f>
        <v>0</v>
      </c>
      <c r="O371" s="168">
        <f t="array" ref="O371">SUM(IF('2014-2017 Projects'!$J$5:$J$258="Health Services",'2014-2017 Projects'!$AV$5:$AV$258,0))</f>
        <v>0</v>
      </c>
      <c r="P371" s="168">
        <f t="array" ref="P371">SUM(IF('2014-2017 Projects'!$J$5:$J$258="Health Services",'2014-2017 Projects'!$AW$5:$AW$258,0))</f>
        <v>0</v>
      </c>
      <c r="Q371" s="168">
        <f t="array" ref="Q371">SUM(IF('2014-2017 Projects'!$J$5:$J$258="Health Services",'2014-2017 Projects'!$AY$5:$AY$258,0))</f>
        <v>0</v>
      </c>
      <c r="R371" s="168"/>
      <c r="S371" s="168"/>
      <c r="T371" s="168"/>
      <c r="U371" s="168"/>
      <c r="V371" s="168"/>
      <c r="W371" s="168"/>
      <c r="X371" s="168"/>
      <c r="Y371" s="168"/>
      <c r="Z371" s="168"/>
      <c r="AA371" s="168"/>
      <c r="AB371" s="168"/>
      <c r="AC371" s="168"/>
      <c r="AD371" s="168"/>
      <c r="AE371" s="168"/>
      <c r="AF371" s="168"/>
      <c r="AG371" s="168"/>
      <c r="AH371" s="318">
        <f t="shared" si="73"/>
        <v>0</v>
      </c>
      <c r="AI371" s="318">
        <f t="shared" si="74"/>
        <v>0</v>
      </c>
      <c r="AJ371" s="168">
        <f t="array" ref="AJ371">SUM(IF('2014-2017 Projects'!$J$5:$J$258="Health Services",'2014-2017 Projects'!$BX$5:$BX$258,0))</f>
        <v>0</v>
      </c>
      <c r="AK371" s="318">
        <f t="shared" si="75"/>
        <v>0</v>
      </c>
      <c r="AL371" s="318">
        <f t="shared" si="76"/>
        <v>0</v>
      </c>
      <c r="AM371" s="390" t="e">
        <f t="shared" si="77"/>
        <v>#DIV/0!</v>
      </c>
      <c r="AN371" s="390" t="e">
        <f t="shared" si="78"/>
        <v>#DIV/0!</v>
      </c>
      <c r="AO371" s="168">
        <f t="array" ref="AO371">SUM(IF('2014-2017 Projects'!$J$5:$J$258="Health Services",'2014-2017 Projects'!$CG$5:$CG$258,0))</f>
        <v>0</v>
      </c>
      <c r="AP371" s="168">
        <f t="array" ref="AP371">SUM(IF('2014-2017 Projects'!$J$5:$J$258="Health Services",'2014-2017 Projects'!$CH$5:$CH$258,0))</f>
        <v>0</v>
      </c>
    </row>
    <row r="372" spans="1:44" x14ac:dyDescent="0.2">
      <c r="A372" s="169" t="s">
        <v>77</v>
      </c>
      <c r="B372" s="168" t="e">
        <f t="array" ref="B372">SUM(IF('[5]2013-2016 Projects'!$E$4:$E$202="Public Safety",'[5]2013-2016 Projects'!$V$4:$V$202,0))</f>
        <v>#REF!</v>
      </c>
      <c r="C372" s="168" t="e">
        <f t="array" ref="C372">SUM(IF('[5]2013-2016 Projects'!$E$4:$E$202="Public Safety",'[5]2013-2016 Projects'!$V$4:$V$202,0))</f>
        <v>#REF!</v>
      </c>
      <c r="D372" s="168">
        <f t="array" ref="D372">SUM(IF('2014-2017 Projects'!$J$5:$J$258="Public Safety",'2014-2017 Projects'!$AG$5:$AG$258,0))</f>
        <v>2250000</v>
      </c>
      <c r="E372" s="168">
        <f t="array" ref="E372">SUM(IF('2014-2017 Projects'!$J$5:$J$258="Public Safety",'2014-2017 Projects'!$AH$5:$AH$258,0))</f>
        <v>-2000000</v>
      </c>
      <c r="F372" s="168">
        <f t="array" ref="F372">SUM(IF('2014-2017 Projects'!$J$5:$J$258="Public Safety",'2014-2017 Projects'!$AI$5:$AI$258,0))</f>
        <v>250000</v>
      </c>
      <c r="G372" s="168">
        <f t="array" ref="G372">SUM(IF('2014-2017 Projects'!$J$5:$J$258="Waste Management",'2014-2017 Projects'!$AG$5:$AG$258,0))</f>
        <v>14240000</v>
      </c>
      <c r="H372" s="168">
        <f t="array" ref="H372">SUM(IF('2014-2017 Projects'!$J$5:$J$258="Public Safety",'2014-2017 Projects'!$AK$5:$AK$258,0))</f>
        <v>9800000</v>
      </c>
      <c r="I372" s="168">
        <f t="array" ref="I372">SUM(IF('2014-2017 Projects'!$J$5:$J$258="Public Safety",'2014-2017 Projects'!$AM$5:$AM$258,0))</f>
        <v>13866980</v>
      </c>
      <c r="J372" s="168">
        <f t="array" ref="J372">SUM(IF('2014-2017 Projects'!$J$5:$J$258="Public Safety",'2014-2017 Projects'!$AN$5:$AN$258,0))</f>
        <v>1102.6300000000001</v>
      </c>
      <c r="K372" s="168">
        <f t="array" ref="K372">SUM(IF('2014-2017 Projects'!$J$5:$J$258="Public Safety",'2014-2017 Projects'!$AP$5:$AP$258,0))</f>
        <v>1102.6300000000001</v>
      </c>
      <c r="L372" s="168">
        <f t="array" ref="L372">SUM(IF('2014-2017 Projects'!$J$5:$J$258="Public Safety",'2014-2017 Projects'!$AQ$5:$AQ$258,0))</f>
        <v>761505.76</v>
      </c>
      <c r="M372" s="168">
        <f t="array" ref="M372">SUM(IF('2014-2017 Projects'!$J$5:$J$258="Public Safety",'2014-2017 Projects'!$AS$5:$AS$258,0))</f>
        <v>761505.76</v>
      </c>
      <c r="N372" s="168">
        <f t="array" ref="N372">SUM(IF('2014-2017 Projects'!$J$5:$J$258="Public Safety",'2014-2017 Projects'!$AT$5:$AT$258,0))</f>
        <v>1653.9500000000698</v>
      </c>
      <c r="O372" s="168">
        <f t="array" ref="O372">SUM(IF('2014-2017 Projects'!$J$5:$J$258="Public Safety",'2014-2017 Projects'!$AV$5:$AV$258,0))</f>
        <v>1653.9500000000698</v>
      </c>
      <c r="P372" s="168">
        <f t="array" ref="P372">SUM(IF('2014-2017 Projects'!$J$5:$J$258="Public Safety",'2014-2017 Projects'!$AW$5:$AW$258,0))</f>
        <v>177174.39</v>
      </c>
      <c r="Q372" s="168">
        <f t="array" ref="Q372">SUM(IF('2014-2017 Projects'!$J$5:$J$258="Public Safety",'2014-2017 Projects'!$AY$5:$AY$258,0))</f>
        <v>177174.39</v>
      </c>
      <c r="R372" s="168"/>
      <c r="S372" s="168"/>
      <c r="T372" s="168"/>
      <c r="U372" s="168"/>
      <c r="V372" s="168"/>
      <c r="W372" s="168"/>
      <c r="X372" s="168"/>
      <c r="Y372" s="168"/>
      <c r="Z372" s="168"/>
      <c r="AA372" s="168"/>
      <c r="AB372" s="168"/>
      <c r="AC372" s="168"/>
      <c r="AD372" s="168"/>
      <c r="AE372" s="168"/>
      <c r="AF372" s="168"/>
      <c r="AG372" s="168"/>
      <c r="AH372" s="318">
        <f t="shared" si="73"/>
        <v>941436.7300000001</v>
      </c>
      <c r="AI372" s="318">
        <f t="shared" si="74"/>
        <v>941436.7300000001</v>
      </c>
      <c r="AJ372" s="168">
        <f t="array" ref="AJ372">SUM(IF('2014-2017 Projects'!$J$5:$J$258="Public Safety",'2014-2017 Projects'!$BX$5:$BX$258,0))</f>
        <v>2626870.7199999997</v>
      </c>
      <c r="AK372" s="318">
        <f t="shared" si="75"/>
        <v>12925543.27</v>
      </c>
      <c r="AL372" s="318">
        <f t="shared" si="76"/>
        <v>12925543.27</v>
      </c>
      <c r="AM372" s="390">
        <f t="shared" si="77"/>
        <v>6.7890537809962959E-2</v>
      </c>
      <c r="AN372" s="390">
        <f t="shared" si="78"/>
        <v>6.7890537809962959E-2</v>
      </c>
      <c r="AO372" s="168">
        <f t="array" ref="AO372">SUM(IF('2014-2017 Projects'!$J$5:$J$258="Public Safety",'2014-2017 Projects'!$CG$5:$CG$258,0))</f>
        <v>10500000</v>
      </c>
      <c r="AP372" s="168">
        <f t="array" ref="AP372">SUM(IF('2014-2017 Projects'!$J$5:$J$258="Public Safety",'2014-2017 Projects'!$CH$5:$CH$258,0))</f>
        <v>21200000</v>
      </c>
    </row>
    <row r="373" spans="1:44" x14ac:dyDescent="0.2">
      <c r="A373" s="233" t="s">
        <v>72</v>
      </c>
      <c r="B373" s="168" t="e">
        <f t="array" ref="B373">SUM(IF('[5]2013-2016 Projects'!$E$4:$E$202="Support Services",'[5]2013-2016 Projects'!$V$4:$V$202,0))</f>
        <v>#REF!</v>
      </c>
      <c r="C373" s="168" t="e">
        <f t="array" ref="C373">SUM(IF('[5]2013-2016 Projects'!$E$4:$E$202="Support Services",'[5]2013-2016 Projects'!$V$4:$V$202,0))</f>
        <v>#REF!</v>
      </c>
      <c r="D373" s="168">
        <f t="array" ref="D373">SUM(IF('2014-2017 Projects'!$J$5:$J$258="Support Services",'2014-2017 Projects'!$AG$5:$AG$258,0))</f>
        <v>19350000</v>
      </c>
      <c r="E373" s="168">
        <f t="array" ref="E373">SUM(IF('2014-2017 Projects'!$J$5:$J$258="Support Services",'2014-2017 Projects'!$AH$5:$AH$258,0))</f>
        <v>-10000000</v>
      </c>
      <c r="F373" s="168">
        <f t="array" ref="F373">SUM(IF('2014-2017 Projects'!$J$5:$J$258="Support Services",'2014-2017 Projects'!$AI$5:$AI$258,0))</f>
        <v>9350000</v>
      </c>
      <c r="G373" s="168">
        <f t="array" ref="G373">SUM(IF('2014-2017 Projects'!$J$5:$J$258="Waste Management",'2014-2017 Projects'!$AG$5:$AG$258,0))</f>
        <v>14240000</v>
      </c>
      <c r="H373" s="168">
        <f t="array" ref="H373">SUM(IF('2014-2017 Projects'!$J$5:$J$258="Support Services",'2014-2017 Projects'!$AK$5:$AK$258,0))</f>
        <v>36150000</v>
      </c>
      <c r="I373" s="168">
        <f t="array" ref="I373">SUM(IF('2014-2017 Projects'!$J$5:$J$258="Support Services",'2014-2017 Projects'!$AM$5:$AM$258,0))</f>
        <v>47872082</v>
      </c>
      <c r="J373" s="168">
        <f t="array" ref="J373">SUM(IF('2014-2017 Projects'!$J$5:$J$258="Support Services",'2014-2017 Projects'!$AN$5:$AN$258,0))</f>
        <v>19074.32</v>
      </c>
      <c r="K373" s="168">
        <f t="array" ref="K373">SUM(IF('2014-2017 Projects'!$J$5:$J$258="Support Services",'2014-2017 Projects'!$AP$5:$AP$258,0))</f>
        <v>19074.32</v>
      </c>
      <c r="L373" s="168">
        <f t="array" ref="L373">SUM(IF('2014-2017 Projects'!$J$5:$J$258="Support Services",'2014-2017 Projects'!$AQ$5:$AQ$258,0))</f>
        <v>185511.1</v>
      </c>
      <c r="M373" s="168">
        <f t="array" ref="M373">SUM(IF('2014-2017 Projects'!$J$5:$J$258="Support Services",'2014-2017 Projects'!$AS$5:$AS$258,0))</f>
        <v>209423.80000000002</v>
      </c>
      <c r="N373" s="168">
        <f t="array" ref="N373">SUM(IF('2014-2017 Projects'!$J$5:$J$258="Support Services",'2014-2017 Projects'!$AT$5:$AT$258,0))</f>
        <v>697568.79</v>
      </c>
      <c r="O373" s="168">
        <f t="array" ref="O373">SUM(IF('2014-2017 Projects'!$J$5:$J$258="Support Services",'2014-2017 Projects'!$AV$5:$AV$258,0))</f>
        <v>697568.79</v>
      </c>
      <c r="P373" s="168">
        <f t="array" ref="P373">SUM(IF('2014-2017 Projects'!$J$5:$J$258="Support Services",'2014-2017 Projects'!$AW$5:$AW$258,0))</f>
        <v>3409239.0399999996</v>
      </c>
      <c r="Q373" s="168">
        <f t="array" ref="Q373">SUM(IF('2014-2017 Projects'!$J$5:$J$258="Support Services",'2014-2017 Projects'!$AY$5:$AY$258,0))</f>
        <v>3786001.2499999995</v>
      </c>
      <c r="R373" s="168"/>
      <c r="S373" s="168"/>
      <c r="T373" s="168"/>
      <c r="U373" s="168"/>
      <c r="V373" s="168"/>
      <c r="W373" s="168"/>
      <c r="X373" s="168"/>
      <c r="Y373" s="168"/>
      <c r="Z373" s="168"/>
      <c r="AA373" s="168"/>
      <c r="AB373" s="168"/>
      <c r="AC373" s="168"/>
      <c r="AD373" s="168"/>
      <c r="AE373" s="168"/>
      <c r="AF373" s="168"/>
      <c r="AG373" s="168"/>
      <c r="AH373" s="318">
        <f t="shared" si="73"/>
        <v>4311393.25</v>
      </c>
      <c r="AI373" s="318">
        <f t="shared" si="74"/>
        <v>4712068.1599999992</v>
      </c>
      <c r="AJ373" s="168">
        <f t="array" ref="AJ373">SUM(IF('2014-2017 Projects'!$J$5:$J$258="Support Services",'2014-2017 Projects'!$BX$5:$BX$258,0))</f>
        <v>1240965.5899999999</v>
      </c>
      <c r="AK373" s="318">
        <f t="shared" si="75"/>
        <v>43560688.75</v>
      </c>
      <c r="AL373" s="318">
        <f t="shared" si="76"/>
        <v>43160013.840000004</v>
      </c>
      <c r="AM373" s="390">
        <f t="shared" si="77"/>
        <v>9.0060700723231552E-2</v>
      </c>
      <c r="AN373" s="390">
        <f t="shared" si="78"/>
        <v>9.843039958028145E-2</v>
      </c>
      <c r="AO373" s="168">
        <f t="array" ref="AO373">SUM(IF('2014-2017 Projects'!$J$5:$J$258="Support Services",'2014-2017 Projects'!$CG$5:$CG$258,0))</f>
        <v>54978000</v>
      </c>
      <c r="AP373" s="168">
        <f t="array" ref="AP373">SUM(IF('2014-2017 Projects'!$J$5:$J$258="Support Services",'2014-2017 Projects'!$CH$5:$CH$258,0))</f>
        <v>52444000</v>
      </c>
    </row>
    <row r="374" spans="1:44" x14ac:dyDescent="0.2">
      <c r="A374" s="233" t="s">
        <v>400</v>
      </c>
      <c r="B374" s="168" t="e">
        <f t="array" ref="B374">SUM(IF('[5]2013-2016 Projects'!$E$4:$E$202="Other",'[5]2013-2016 Projects'!$V$4:$V$202,0))</f>
        <v>#REF!</v>
      </c>
      <c r="C374" s="168" t="e">
        <f t="array" ref="C374">SUM(IF('[5]2013-2016 Projects'!$E$4:$E$202="Other",'[5]2013-2016 Projects'!$V$4:$V$202,0))</f>
        <v>#REF!</v>
      </c>
      <c r="D374" s="168">
        <f t="array" ref="D374">SUM(IF('2014-2017 Projects'!$J$5:$J$258="Other - BCM Fleet",'2014-2017 Projects'!$AG$5:$AG$258,0))</f>
        <v>33000000</v>
      </c>
      <c r="E374" s="168">
        <f t="array" ref="E374">SUM(IF('2014-2017 Projects'!$J$5:$J$258="Other - BCM Fleet",'2014-2017 Projects'!$AH$5:$AH$258,0))</f>
        <v>3500000</v>
      </c>
      <c r="F374" s="168">
        <f t="array" ref="F374">SUM(IF('2014-2017 Projects'!$J$5:$J$258="Other - BCM Fleet",'2014-2017 Projects'!$AI$5:$AI$258,0))</f>
        <v>36500000</v>
      </c>
      <c r="G374" s="168">
        <f t="array" ref="G374">SUM(IF('2014-2017 Projects'!$J$5:$J$258="Other - BCM Fleet",'2014-2017 Projects'!$AG$5:$AG$258,0))</f>
        <v>33000000</v>
      </c>
      <c r="H374" s="168">
        <f t="array" ref="H374">SUM(IF('2014-2017 Projects'!$J$5:$J$258="Other - BCM Fleet",'2014-2017 Projects'!$AK$5:$AK$258,0))</f>
        <v>28300000</v>
      </c>
      <c r="I374" s="168">
        <f t="array" ref="I374">SUM(IF('2014-2017 Projects'!$J$5:$J$258="Other - BCM Fleet",'2014-2017 Projects'!$AM$5:$AM$258,0))</f>
        <v>32297668</v>
      </c>
      <c r="J374" s="168">
        <f t="array" ref="J374">SUM(IF('2014-2017 Projects'!$J$5:$J$258="Other - BCM Fleet",'2014-2017 Projects'!$AN$5:$AN$258,0))</f>
        <v>0</v>
      </c>
      <c r="K374" s="168">
        <f t="array" ref="K374">SUM(IF('2014-2017 Projects'!$J$5:$J$258="Other - BCM Fleet",'2014-2017 Projects'!$AP$5:$AP$258,0))</f>
        <v>0</v>
      </c>
      <c r="L374" s="168">
        <f t="array" ref="L374">SUM(IF('2014-2017 Projects'!$J$5:$J$258="Other - BCM Fleet",'2014-2017 Projects'!$AQ$5:$AQ$258,0))</f>
        <v>1888532.64</v>
      </c>
      <c r="M374" s="168">
        <f t="array" ref="M374">SUM(IF('2014-2017 Projects'!$J$5:$J$258="Other - BCM Fleet",'2014-2017 Projects'!$AS$5:$AS$258,0))</f>
        <v>1888532.64</v>
      </c>
      <c r="N374" s="168">
        <f t="array" ref="N374">SUM(IF('2014-2017 Projects'!$J$5:$J$258="Other - BCM Fleet",'2014-2017 Projects'!$AT$5:$AT$258,0))</f>
        <v>10484165.529999999</v>
      </c>
      <c r="O374" s="168">
        <f t="array" ref="O374">SUM(IF('2014-2017 Projects'!$J$5:$J$258="Other - BCM Fleet",'2014-2017 Projects'!$AV$5:$AV$258,0))</f>
        <v>10484165.529999999</v>
      </c>
      <c r="P374" s="168">
        <f t="array" ref="P374">SUM(IF('2014-2017 Projects'!$J$5:$J$258="Other - BCM Fleet",'2014-2017 Projects'!$AW$5:$AW$258,0))</f>
        <v>4549898.9800000004</v>
      </c>
      <c r="Q374" s="168">
        <f t="array" ref="Q374">SUM(IF('2014-2017 Projects'!$J$5:$J$258="Other - BCM Fleet",'2014-2017 Projects'!$AY$5:$AY$258,0))</f>
        <v>4549898.9800000004</v>
      </c>
      <c r="R374" s="168"/>
      <c r="S374" s="168"/>
      <c r="T374" s="168"/>
      <c r="U374" s="168"/>
      <c r="V374" s="168"/>
      <c r="W374" s="168"/>
      <c r="X374" s="168"/>
      <c r="Y374" s="168"/>
      <c r="Z374" s="168"/>
      <c r="AA374" s="168"/>
      <c r="AB374" s="168"/>
      <c r="AC374" s="168"/>
      <c r="AD374" s="168"/>
      <c r="AE374" s="168"/>
      <c r="AF374" s="168"/>
      <c r="AG374" s="168"/>
      <c r="AH374" s="318">
        <f t="shared" si="73"/>
        <v>16922597.149999999</v>
      </c>
      <c r="AI374" s="318">
        <f t="shared" si="74"/>
        <v>16922597.149999999</v>
      </c>
      <c r="AJ374" s="168">
        <f t="array" ref="AJ374">SUM(IF('2014-2017 Projects'!$J$5:$J$258="Other - BCM Fleet",'2014-2017 Projects'!$BX$5:$BX$258,0))</f>
        <v>0</v>
      </c>
      <c r="AK374" s="318">
        <f t="shared" si="75"/>
        <v>15375070.850000001</v>
      </c>
      <c r="AL374" s="318">
        <f t="shared" si="76"/>
        <v>15375070.850000001</v>
      </c>
      <c r="AM374" s="390">
        <f t="shared" si="77"/>
        <v>0.52395724514847319</v>
      </c>
      <c r="AN374" s="390">
        <f t="shared" si="78"/>
        <v>0.52395724514847319</v>
      </c>
      <c r="AO374" s="168">
        <f t="array" ref="AO374">SUM(IF('2014-2017 Projects'!$J$5:$J$258="Other - BCM Fleet",'2014-2017 Projects'!$CG$5:$CG$258,0))</f>
        <v>48000000</v>
      </c>
      <c r="AP374" s="168">
        <f t="array" ref="AP374">SUM(IF('2014-2017 Projects'!$J$5:$J$258="Other - BCM Fleet",'2014-2017 Projects'!$CH$5:$CH$258,0))</f>
        <v>48000000</v>
      </c>
    </row>
    <row r="375" spans="1:44" ht="13.5" thickBot="1" x14ac:dyDescent="0.25">
      <c r="A375" s="169"/>
      <c r="B375" s="234" t="e">
        <f>SUM(B362:B374)</f>
        <v>#REF!</v>
      </c>
      <c r="C375" s="234" t="e">
        <f>SUM(C362:C374)</f>
        <v>#REF!</v>
      </c>
      <c r="D375" s="234">
        <f>SUM(D362:D374)</f>
        <v>296123214.88</v>
      </c>
      <c r="E375" s="234">
        <f>SUM(E362:E374)</f>
        <v>12199892</v>
      </c>
      <c r="F375" s="234">
        <f>SUM(F362:F374)</f>
        <v>308323106.88</v>
      </c>
      <c r="G375" s="234"/>
      <c r="H375" s="234">
        <f>SUM(H362:H374)</f>
        <v>942007423</v>
      </c>
      <c r="I375" s="234">
        <f t="shared" ref="I375:AH375" si="79">SUM(I362:I374)</f>
        <v>1056484706</v>
      </c>
      <c r="J375" s="234">
        <f t="shared" si="79"/>
        <v>4279296.1500000004</v>
      </c>
      <c r="K375" s="234">
        <f t="shared" si="79"/>
        <v>4585291.8000000007</v>
      </c>
      <c r="L375" s="234">
        <f t="shared" si="79"/>
        <v>36998451.880000003</v>
      </c>
      <c r="M375" s="234">
        <f t="shared" si="79"/>
        <v>40732237.589999996</v>
      </c>
      <c r="N375" s="234">
        <f t="shared" si="79"/>
        <v>63771348.910000004</v>
      </c>
      <c r="O375" s="234">
        <f t="shared" si="79"/>
        <v>69010776.280000001</v>
      </c>
      <c r="P375" s="234">
        <f t="shared" si="79"/>
        <v>82385306.63000001</v>
      </c>
      <c r="Q375" s="234">
        <f t="shared" si="79"/>
        <v>89033634.960000008</v>
      </c>
      <c r="R375" s="234">
        <f t="shared" si="79"/>
        <v>0</v>
      </c>
      <c r="S375" s="234">
        <f t="shared" si="79"/>
        <v>0</v>
      </c>
      <c r="T375" s="234">
        <f t="shared" si="79"/>
        <v>0</v>
      </c>
      <c r="U375" s="234">
        <f t="shared" si="79"/>
        <v>0</v>
      </c>
      <c r="V375" s="234">
        <f t="shared" si="79"/>
        <v>0</v>
      </c>
      <c r="W375" s="234">
        <f t="shared" si="79"/>
        <v>0</v>
      </c>
      <c r="X375" s="234">
        <f t="shared" si="79"/>
        <v>0</v>
      </c>
      <c r="Y375" s="234">
        <f t="shared" si="79"/>
        <v>0</v>
      </c>
      <c r="Z375" s="234">
        <f t="shared" si="79"/>
        <v>0</v>
      </c>
      <c r="AA375" s="234">
        <f t="shared" si="79"/>
        <v>0</v>
      </c>
      <c r="AB375" s="234">
        <f t="shared" si="79"/>
        <v>0</v>
      </c>
      <c r="AC375" s="234">
        <f t="shared" si="79"/>
        <v>0</v>
      </c>
      <c r="AD375" s="234">
        <f t="shared" si="79"/>
        <v>0</v>
      </c>
      <c r="AE375" s="234">
        <f t="shared" si="79"/>
        <v>0</v>
      </c>
      <c r="AF375" s="234">
        <f t="shared" si="79"/>
        <v>0</v>
      </c>
      <c r="AG375" s="234">
        <f t="shared" si="79"/>
        <v>0</v>
      </c>
      <c r="AH375" s="234">
        <f t="shared" si="79"/>
        <v>187434403.57000002</v>
      </c>
      <c r="AI375" s="234">
        <f t="shared" ref="AI375:AL375" si="80">SUM(AI362:AI374)</f>
        <v>203361940.63</v>
      </c>
      <c r="AJ375" s="234">
        <f>SUM(AJ362:AJ374)</f>
        <v>87463038.98999998</v>
      </c>
      <c r="AK375" s="234">
        <f t="shared" si="80"/>
        <v>869050302.42999995</v>
      </c>
      <c r="AL375" s="234">
        <f t="shared" si="80"/>
        <v>853122765.37</v>
      </c>
      <c r="AM375" s="392">
        <f t="shared" si="77"/>
        <v>0.17741326732466681</v>
      </c>
      <c r="AN375" s="392">
        <f t="shared" si="78"/>
        <v>0.1924892423667513</v>
      </c>
      <c r="AO375" s="234">
        <f>SUM(AO362:AO374)</f>
        <v>1382127261</v>
      </c>
      <c r="AP375" s="234">
        <f>SUM(AP362:AP374)</f>
        <v>1385226151</v>
      </c>
    </row>
    <row r="376" spans="1:44" ht="13.5" hidden="1" thickTop="1" x14ac:dyDescent="0.2">
      <c r="A376" s="165"/>
      <c r="B376" s="235"/>
      <c r="C376" s="235"/>
      <c r="D376" s="306">
        <f t="shared" ref="D376:AR376" si="81">+D375-D156</f>
        <v>91695940</v>
      </c>
      <c r="E376" s="306">
        <f t="shared" si="81"/>
        <v>-800000</v>
      </c>
      <c r="F376" s="306">
        <f t="shared" si="81"/>
        <v>90895940</v>
      </c>
      <c r="G376" s="306">
        <f t="shared" si="81"/>
        <v>-62330943</v>
      </c>
      <c r="H376" s="306">
        <f t="shared" si="81"/>
        <v>0</v>
      </c>
      <c r="I376" s="306"/>
      <c r="J376" s="306"/>
      <c r="K376" s="306"/>
      <c r="L376" s="306"/>
      <c r="M376" s="306"/>
      <c r="N376" s="306"/>
      <c r="O376" s="306"/>
      <c r="P376" s="306"/>
      <c r="Q376" s="306"/>
      <c r="R376" s="306"/>
      <c r="S376" s="306"/>
      <c r="T376" s="306"/>
      <c r="U376" s="306"/>
      <c r="V376" s="306"/>
      <c r="W376" s="306"/>
      <c r="X376" s="306"/>
      <c r="Y376" s="306"/>
      <c r="Z376" s="306"/>
      <c r="AA376" s="306"/>
      <c r="AB376" s="306"/>
      <c r="AC376" s="306"/>
      <c r="AD376" s="306"/>
      <c r="AE376" s="306"/>
      <c r="AF376" s="306"/>
      <c r="AG376" s="306"/>
      <c r="AH376" s="306"/>
      <c r="AI376" s="306"/>
      <c r="AJ376" s="306"/>
      <c r="AK376" s="306"/>
      <c r="AL376" s="306"/>
      <c r="AM376" s="391" t="e">
        <f t="shared" ref="AM376" si="82">AH376/H376</f>
        <v>#DIV/0!</v>
      </c>
      <c r="AN376" s="391" t="e">
        <f t="shared" si="78"/>
        <v>#DIV/0!</v>
      </c>
      <c r="AO376" s="306">
        <f t="shared" si="81"/>
        <v>0</v>
      </c>
      <c r="AP376" s="306">
        <f t="shared" si="81"/>
        <v>0</v>
      </c>
      <c r="AQ376" s="305">
        <f t="shared" si="81"/>
        <v>0</v>
      </c>
      <c r="AR376" s="305">
        <f t="shared" si="81"/>
        <v>-1191461466</v>
      </c>
    </row>
    <row r="377" spans="1:44" ht="15" thickTop="1" thickBot="1" x14ac:dyDescent="0.3">
      <c r="A377" s="237"/>
      <c r="B377" s="237"/>
      <c r="C377" s="237"/>
      <c r="D377" s="237"/>
      <c r="E377" s="237"/>
      <c r="F377" s="237"/>
      <c r="G377" s="237"/>
      <c r="H377" s="237"/>
      <c r="I377" s="237"/>
      <c r="J377" s="237"/>
      <c r="K377" s="237"/>
      <c r="L377" s="237"/>
      <c r="M377" s="237"/>
      <c r="N377" s="237"/>
      <c r="O377" s="237"/>
      <c r="P377" s="237"/>
      <c r="Q377" s="237"/>
      <c r="R377" s="237"/>
      <c r="S377" s="237"/>
      <c r="T377" s="237"/>
      <c r="U377" s="237"/>
      <c r="V377" s="237"/>
      <c r="W377" s="237"/>
      <c r="X377" s="237"/>
      <c r="Y377" s="237"/>
      <c r="Z377" s="237"/>
      <c r="AA377" s="237"/>
      <c r="AB377" s="237"/>
      <c r="AC377" s="237"/>
      <c r="AD377" s="237"/>
      <c r="AE377" s="237"/>
      <c r="AF377" s="237"/>
      <c r="AG377" s="237"/>
      <c r="AH377" s="237"/>
      <c r="AI377" s="237"/>
      <c r="AJ377" s="420"/>
      <c r="AK377" s="237"/>
      <c r="AL377" s="237"/>
      <c r="AM377" s="237"/>
      <c r="AN377" s="237"/>
      <c r="AO377" s="237"/>
      <c r="AP377" s="237"/>
    </row>
    <row r="378" spans="1:44" ht="48" x14ac:dyDescent="0.2">
      <c r="A378" s="238" t="s">
        <v>404</v>
      </c>
      <c r="B378" s="139" t="s">
        <v>297</v>
      </c>
      <c r="C378" s="139" t="s">
        <v>297</v>
      </c>
      <c r="D378" s="139" t="s">
        <v>297</v>
      </c>
      <c r="E378" s="139" t="s">
        <v>297</v>
      </c>
      <c r="F378" s="139" t="s">
        <v>297</v>
      </c>
      <c r="G378" s="139"/>
      <c r="H378" s="139" t="s">
        <v>615</v>
      </c>
      <c r="I378" s="139" t="s">
        <v>695</v>
      </c>
      <c r="J378" s="389" t="s">
        <v>589</v>
      </c>
      <c r="K378" s="389" t="s">
        <v>590</v>
      </c>
      <c r="L378" s="389" t="s">
        <v>591</v>
      </c>
      <c r="M378" s="389" t="s">
        <v>592</v>
      </c>
      <c r="N378" s="389" t="s">
        <v>593</v>
      </c>
      <c r="O378" s="389" t="s">
        <v>594</v>
      </c>
      <c r="P378" s="389" t="s">
        <v>595</v>
      </c>
      <c r="Q378" s="389" t="s">
        <v>596</v>
      </c>
      <c r="R378" s="389" t="s">
        <v>597</v>
      </c>
      <c r="S378" s="389" t="s">
        <v>598</v>
      </c>
      <c r="T378" s="389" t="s">
        <v>599</v>
      </c>
      <c r="U378" s="389" t="s">
        <v>600</v>
      </c>
      <c r="V378" s="389" t="s">
        <v>602</v>
      </c>
      <c r="W378" s="389" t="s">
        <v>603</v>
      </c>
      <c r="X378" s="389" t="s">
        <v>604</v>
      </c>
      <c r="Y378" s="389" t="s">
        <v>605</v>
      </c>
      <c r="Z378" s="389" t="s">
        <v>606</v>
      </c>
      <c r="AA378" s="389" t="s">
        <v>607</v>
      </c>
      <c r="AB378" s="389" t="s">
        <v>609</v>
      </c>
      <c r="AC378" s="389" t="s">
        <v>608</v>
      </c>
      <c r="AD378" s="389" t="s">
        <v>610</v>
      </c>
      <c r="AE378" s="389" t="s">
        <v>611</v>
      </c>
      <c r="AF378" s="389" t="s">
        <v>612</v>
      </c>
      <c r="AG378" s="389" t="s">
        <v>613</v>
      </c>
      <c r="AH378" s="389" t="s">
        <v>203</v>
      </c>
      <c r="AI378" s="389" t="s">
        <v>617</v>
      </c>
      <c r="AJ378" s="389" t="s">
        <v>220</v>
      </c>
      <c r="AK378" s="389" t="s">
        <v>618</v>
      </c>
      <c r="AL378" s="389" t="s">
        <v>619</v>
      </c>
      <c r="AM378" s="389" t="s">
        <v>620</v>
      </c>
      <c r="AN378" s="389" t="s">
        <v>621</v>
      </c>
      <c r="AO378" s="138" t="s">
        <v>302</v>
      </c>
      <c r="AP378" s="138" t="s">
        <v>411</v>
      </c>
    </row>
    <row r="379" spans="1:44" x14ac:dyDescent="0.2">
      <c r="A379" s="239"/>
      <c r="B379" s="236"/>
      <c r="C379" s="236"/>
      <c r="D379" s="236"/>
      <c r="E379" s="236"/>
      <c r="F379" s="236"/>
      <c r="G379" s="236"/>
      <c r="H379" s="236"/>
      <c r="I379" s="236"/>
      <c r="J379" s="236"/>
      <c r="K379" s="236"/>
      <c r="L379" s="236"/>
      <c r="M379" s="236"/>
      <c r="N379" s="236"/>
      <c r="O379" s="236"/>
      <c r="P379" s="236"/>
      <c r="Q379" s="236"/>
      <c r="R379" s="236"/>
      <c r="S379" s="236"/>
      <c r="T379" s="236"/>
      <c r="U379" s="236"/>
      <c r="V379" s="236"/>
      <c r="W379" s="236"/>
      <c r="X379" s="236"/>
      <c r="Y379" s="236"/>
      <c r="Z379" s="236"/>
      <c r="AA379" s="236"/>
      <c r="AB379" s="236"/>
      <c r="AC379" s="236"/>
      <c r="AD379" s="236"/>
      <c r="AE379" s="236"/>
      <c r="AF379" s="236"/>
      <c r="AG379" s="236"/>
      <c r="AH379" s="236"/>
      <c r="AI379" s="236"/>
      <c r="AJ379" s="236"/>
      <c r="AK379" s="236"/>
      <c r="AL379" s="236"/>
      <c r="AM379" s="236"/>
      <c r="AN379" s="236"/>
      <c r="AO379" s="236"/>
      <c r="AP379" s="236"/>
    </row>
    <row r="380" spans="1:44" x14ac:dyDescent="0.2">
      <c r="A380" s="240" t="s">
        <v>405</v>
      </c>
      <c r="B380" s="168" t="e">
        <f t="array" ref="B380">SUM(IF('[5]2013-2016 Projects'!$R$4:$R$202="KPA1",'[5]2013-2016 Projects'!$V$4:$V$202,0))</f>
        <v>#REF!</v>
      </c>
      <c r="C380" s="168" t="e">
        <f t="array" ref="C380">SUM(IF('[5]2013-2016 Projects'!$R$4:$R$202="KPA1",'[5]2013-2016 Projects'!$V$4:$V$202,0))</f>
        <v>#REF!</v>
      </c>
      <c r="D380" s="168" t="e">
        <f t="array" ref="D380">SUM(IF('[5]2013-2016 Projects'!$R$4:$R$202="KPA1",'[5]2013-2016 Projects'!$V$4:$V$202,0))</f>
        <v>#REF!</v>
      </c>
      <c r="E380" s="168" t="e">
        <f t="array" ref="E380">SUM(IF('[5]2013-2016 Projects'!$R$4:$R$202="KPA1",'[5]2013-2016 Projects'!$V$4:$V$202,0))</f>
        <v>#REF!</v>
      </c>
      <c r="F380" s="168" t="e">
        <f t="array" ref="F380">SUM(IF('[5]2013-2016 Projects'!$R$4:$R$202="KPA1",'[5]2013-2016 Projects'!$V$4:$V$202,0))</f>
        <v>#REF!</v>
      </c>
      <c r="G380" s="168"/>
      <c r="H380" s="318">
        <f t="array" ref="H380">SUM(IF('2014-2017 Projects'!$Y$5:$Y$258="KPA1",'2014-2017 Projects'!$AK$5:$AK$258,0))</f>
        <v>15100000</v>
      </c>
      <c r="I380" s="318"/>
      <c r="J380" s="318"/>
      <c r="K380" s="318"/>
      <c r="L380" s="318"/>
      <c r="M380" s="318"/>
      <c r="N380" s="318"/>
      <c r="O380" s="318"/>
      <c r="P380" s="318"/>
      <c r="Q380" s="318"/>
      <c r="R380" s="318"/>
      <c r="S380" s="318"/>
      <c r="T380" s="318"/>
      <c r="U380" s="318"/>
      <c r="V380" s="318"/>
      <c r="W380" s="318"/>
      <c r="X380" s="318"/>
      <c r="Y380" s="318"/>
      <c r="Z380" s="318"/>
      <c r="AA380" s="318"/>
      <c r="AB380" s="318"/>
      <c r="AC380" s="318"/>
      <c r="AD380" s="318"/>
      <c r="AE380" s="318"/>
      <c r="AF380" s="318"/>
      <c r="AG380" s="318"/>
      <c r="AH380" s="318"/>
      <c r="AI380" s="318"/>
      <c r="AJ380" s="318"/>
      <c r="AK380" s="318"/>
      <c r="AL380" s="318"/>
      <c r="AM380" s="390">
        <f t="shared" ref="AM380" si="83">AH380/H380</f>
        <v>0</v>
      </c>
      <c r="AN380" s="390">
        <f t="shared" ref="AN380" si="84">AI380/H380</f>
        <v>0</v>
      </c>
      <c r="AO380" s="318">
        <f t="array" ref="AO380">SUM(IF('2014-2017 Projects'!$Y$5:$Y$258="KPA1",'2014-2017 Projects'!$CG$5:$CG$258,0))</f>
        <v>22100000</v>
      </c>
      <c r="AP380" s="318">
        <f t="array" ref="AP380">SUM(IF('2014-2017 Projects'!$Y$5:$Y$258="KPA1",'2014-2017 Projects'!$CH$5:$CH$258,0))</f>
        <v>20200000</v>
      </c>
    </row>
    <row r="381" spans="1:44" x14ac:dyDescent="0.2">
      <c r="A381" s="240" t="s">
        <v>406</v>
      </c>
      <c r="B381" s="168" t="e">
        <f t="array" ref="B381">SUM(IF('[5]2013-2016 Projects'!$R$4:$R$202="KPA2",'[5]2013-2016 Projects'!$V$4:$V$202,0))</f>
        <v>#REF!</v>
      </c>
      <c r="C381" s="168" t="e">
        <f t="array" ref="C381">SUM(IF('[5]2013-2016 Projects'!$R$4:$R$202="KPA2",'[5]2013-2016 Projects'!$V$4:$V$202,0))</f>
        <v>#REF!</v>
      </c>
      <c r="D381" s="168" t="e">
        <f t="array" ref="D381">SUM(IF('[5]2013-2016 Projects'!$R$4:$R$202="KPA2",'[5]2013-2016 Projects'!$V$4:$V$202,0))</f>
        <v>#REF!</v>
      </c>
      <c r="E381" s="168" t="e">
        <f t="array" ref="E381">SUM(IF('[5]2013-2016 Projects'!$R$4:$R$202="KPA2",'[5]2013-2016 Projects'!$V$4:$V$202,0))</f>
        <v>#REF!</v>
      </c>
      <c r="F381" s="168" t="e">
        <f t="array" ref="F381">SUM(IF('[5]2013-2016 Projects'!$R$4:$R$202="KPA2",'[5]2013-2016 Projects'!$V$4:$V$202,0))</f>
        <v>#REF!</v>
      </c>
      <c r="G381" s="168"/>
      <c r="H381" s="318">
        <f t="array" ref="H381">SUM(IF('2014-2017 Projects'!$Y$5:$Y$258="KPA2",'2014-2017 Projects'!$AK$5:$AK$258,0))</f>
        <v>901557423</v>
      </c>
      <c r="I381" s="318"/>
      <c r="J381" s="318"/>
      <c r="K381" s="318"/>
      <c r="L381" s="318"/>
      <c r="M381" s="318"/>
      <c r="N381" s="318"/>
      <c r="O381" s="318"/>
      <c r="P381" s="318"/>
      <c r="Q381" s="318"/>
      <c r="R381" s="318"/>
      <c r="S381" s="318"/>
      <c r="T381" s="318"/>
      <c r="U381" s="318"/>
      <c r="V381" s="318"/>
      <c r="W381" s="318"/>
      <c r="X381" s="318"/>
      <c r="Y381" s="318"/>
      <c r="Z381" s="318"/>
      <c r="AA381" s="318"/>
      <c r="AB381" s="318"/>
      <c r="AC381" s="318"/>
      <c r="AD381" s="318"/>
      <c r="AE381" s="318"/>
      <c r="AF381" s="318"/>
      <c r="AG381" s="318"/>
      <c r="AH381" s="318"/>
      <c r="AI381" s="318"/>
      <c r="AJ381" s="318"/>
      <c r="AK381" s="318"/>
      <c r="AL381" s="318"/>
      <c r="AM381" s="390">
        <f t="shared" ref="AM381:AM385" si="85">AH381/H381</f>
        <v>0</v>
      </c>
      <c r="AN381" s="390">
        <f t="shared" ref="AN381:AN385" si="86">AI381/H381</f>
        <v>0</v>
      </c>
      <c r="AO381" s="318">
        <f t="array" ref="AO381">SUM(IF('2014-2017 Projects'!$Y$5:$Y$258="KPA2",'2014-2017 Projects'!$CG$5:$CG$258,0))</f>
        <v>1337027261</v>
      </c>
      <c r="AP381" s="318">
        <f t="array" ref="AP381">SUM(IF('2014-2017 Projects'!$Y$5:$Y$258="KPA2",'2014-2017 Projects'!$CH$5:$CH$258,0))</f>
        <v>1343526151</v>
      </c>
    </row>
    <row r="382" spans="1:44" x14ac:dyDescent="0.2">
      <c r="A382" s="240" t="s">
        <v>407</v>
      </c>
      <c r="B382" s="168" t="e">
        <f t="array" ref="B382">SUM(IF('[5]2013-2016 Projects'!$R$4:$R$202="KPA3",'[5]2013-2016 Projects'!$V$4:$V$202,0))</f>
        <v>#REF!</v>
      </c>
      <c r="C382" s="168" t="e">
        <f t="array" ref="C382">SUM(IF('[5]2013-2016 Projects'!$R$4:$R$202="KPA3",'[5]2013-2016 Projects'!$V$4:$V$202,0))</f>
        <v>#REF!</v>
      </c>
      <c r="D382" s="168" t="e">
        <f t="array" ref="D382">SUM(IF('[5]2013-2016 Projects'!$R$4:$R$202="KPA3",'[5]2013-2016 Projects'!$V$4:$V$202,0))</f>
        <v>#REF!</v>
      </c>
      <c r="E382" s="168" t="e">
        <f t="array" ref="E382">SUM(IF('[5]2013-2016 Projects'!$R$4:$R$202="KPA3",'[5]2013-2016 Projects'!$V$4:$V$202,0))</f>
        <v>#REF!</v>
      </c>
      <c r="F382" s="168" t="e">
        <f t="array" ref="F382">SUM(IF('[5]2013-2016 Projects'!$R$4:$R$202="KPA3",'[5]2013-2016 Projects'!$V$4:$V$202,0))</f>
        <v>#REF!</v>
      </c>
      <c r="G382" s="168"/>
      <c r="H382" s="318">
        <f t="array" ref="H382">SUM(IF('2014-2017 Projects'!$Y$5:$Y$258="KPA3",'2014-2017 Projects'!$AK$5:$AK$258,0))</f>
        <v>10000000</v>
      </c>
      <c r="I382" s="318"/>
      <c r="J382" s="318"/>
      <c r="K382" s="318"/>
      <c r="L382" s="318"/>
      <c r="M382" s="318"/>
      <c r="N382" s="318"/>
      <c r="O382" s="318"/>
      <c r="P382" s="318"/>
      <c r="Q382" s="318"/>
      <c r="R382" s="318"/>
      <c r="S382" s="318"/>
      <c r="T382" s="318"/>
      <c r="U382" s="318"/>
      <c r="V382" s="318"/>
      <c r="W382" s="318"/>
      <c r="X382" s="318"/>
      <c r="Y382" s="318"/>
      <c r="Z382" s="318"/>
      <c r="AA382" s="318"/>
      <c r="AB382" s="318"/>
      <c r="AC382" s="318"/>
      <c r="AD382" s="318"/>
      <c r="AE382" s="318"/>
      <c r="AF382" s="318"/>
      <c r="AG382" s="318"/>
      <c r="AH382" s="318"/>
      <c r="AI382" s="318"/>
      <c r="AJ382" s="318"/>
      <c r="AK382" s="318"/>
      <c r="AL382" s="318"/>
      <c r="AM382" s="390">
        <f t="shared" si="85"/>
        <v>0</v>
      </c>
      <c r="AN382" s="390">
        <f t="shared" si="86"/>
        <v>0</v>
      </c>
      <c r="AO382" s="318">
        <f t="array" ref="AO382">SUM(IF('2014-2017 Projects'!$Y$5:$Y$258="KPA3",'2014-2017 Projects'!$CG$5:$CG$258,0))</f>
        <v>10000000</v>
      </c>
      <c r="AP382" s="318">
        <f t="array" ref="AP382">SUM(IF('2014-2017 Projects'!$Y$5:$Y$258="KPA3",'2014-2017 Projects'!$CH$5:$CH$258,0))</f>
        <v>10000000</v>
      </c>
    </row>
    <row r="383" spans="1:44" x14ac:dyDescent="0.2">
      <c r="A383" s="240" t="s">
        <v>408</v>
      </c>
      <c r="B383" s="168" t="e">
        <f t="array" ref="B383">SUM(IF('[5]2013-2016 Projects'!$R$4:$R$202="KPA4",'[5]2013-2016 Projects'!$V$4:$V$202,0))</f>
        <v>#REF!</v>
      </c>
      <c r="C383" s="168" t="e">
        <f t="array" ref="C383">SUM(IF('[5]2013-2016 Projects'!$R$4:$R$202="KPA4",'[5]2013-2016 Projects'!$V$4:$V$202,0))</f>
        <v>#REF!</v>
      </c>
      <c r="D383" s="168" t="e">
        <f t="array" ref="D383">SUM(IF('[5]2013-2016 Projects'!$R$4:$R$202="KPA4",'[5]2013-2016 Projects'!$V$4:$V$202,0))</f>
        <v>#REF!</v>
      </c>
      <c r="E383" s="168" t="e">
        <f t="array" ref="E383">SUM(IF('[5]2013-2016 Projects'!$R$4:$R$202="KPA4",'[5]2013-2016 Projects'!$V$4:$V$202,0))</f>
        <v>#REF!</v>
      </c>
      <c r="F383" s="168" t="e">
        <f t="array" ref="F383">SUM(IF('[5]2013-2016 Projects'!$R$4:$R$202="KPA4",'[5]2013-2016 Projects'!$V$4:$V$202,0))</f>
        <v>#REF!</v>
      </c>
      <c r="G383" s="168"/>
      <c r="H383" s="318">
        <f t="array" ref="H383">SUM(IF('2014-2017 Projects'!$Y$5:$Y$258="KPA4",'2014-2017 Projects'!$AK$5:$AK$258,0))</f>
        <v>12350000</v>
      </c>
      <c r="I383" s="318"/>
      <c r="J383" s="318"/>
      <c r="K383" s="318"/>
      <c r="L383" s="318"/>
      <c r="M383" s="318"/>
      <c r="N383" s="318"/>
      <c r="O383" s="318"/>
      <c r="P383" s="318"/>
      <c r="Q383" s="318"/>
      <c r="R383" s="318"/>
      <c r="S383" s="318"/>
      <c r="T383" s="318"/>
      <c r="U383" s="318"/>
      <c r="V383" s="318"/>
      <c r="W383" s="318"/>
      <c r="X383" s="318"/>
      <c r="Y383" s="318"/>
      <c r="Z383" s="318"/>
      <c r="AA383" s="318"/>
      <c r="AB383" s="318"/>
      <c r="AC383" s="318"/>
      <c r="AD383" s="318"/>
      <c r="AE383" s="318"/>
      <c r="AF383" s="318"/>
      <c r="AG383" s="318"/>
      <c r="AH383" s="318"/>
      <c r="AI383" s="318"/>
      <c r="AJ383" s="318"/>
      <c r="AK383" s="318"/>
      <c r="AL383" s="318"/>
      <c r="AM383" s="390">
        <f t="shared" si="85"/>
        <v>0</v>
      </c>
      <c r="AN383" s="390">
        <f t="shared" si="86"/>
        <v>0</v>
      </c>
      <c r="AO383" s="318">
        <f t="array" ref="AO383">SUM(IF('2014-2017 Projects'!$Y$5:$Y$258="KPA4",'2014-2017 Projects'!$CG$5:$CG$258,0))</f>
        <v>12000000</v>
      </c>
      <c r="AP383" s="318">
        <f t="array" ref="AP383">SUM(IF('2014-2017 Projects'!$Y$5:$Y$258="KPA4",'2014-2017 Projects'!$CH$5:$CH$258,0))</f>
        <v>10500000</v>
      </c>
    </row>
    <row r="384" spans="1:44" x14ac:dyDescent="0.2">
      <c r="A384" s="240" t="s">
        <v>409</v>
      </c>
      <c r="B384" s="168" t="e">
        <f t="array" ref="B384">SUM(IF('[5]2013-2016 Projects'!$R$4:$R$202="KPA5",'[5]2013-2016 Projects'!$V$4:$V$202,0))</f>
        <v>#REF!</v>
      </c>
      <c r="C384" s="168" t="e">
        <f t="array" ref="C384">SUM(IF('[5]2013-2016 Projects'!$R$4:$R$202="KPA5",'[5]2013-2016 Projects'!$V$4:$V$202,0))</f>
        <v>#REF!</v>
      </c>
      <c r="D384" s="168" t="e">
        <f t="array" ref="D384">SUM(IF('[5]2013-2016 Projects'!$R$4:$R$202="KPA5",'[5]2013-2016 Projects'!$V$4:$V$202,0))</f>
        <v>#REF!</v>
      </c>
      <c r="E384" s="168" t="e">
        <f t="array" ref="E384">SUM(IF('[5]2013-2016 Projects'!$R$4:$R$202="KPA5",'[5]2013-2016 Projects'!$V$4:$V$202,0))</f>
        <v>#REF!</v>
      </c>
      <c r="F384" s="168" t="e">
        <f t="array" ref="F384">SUM(IF('[5]2013-2016 Projects'!$R$4:$R$202="KPA5",'[5]2013-2016 Projects'!$V$4:$V$202,0))</f>
        <v>#REF!</v>
      </c>
      <c r="G384" s="168"/>
      <c r="H384" s="318">
        <f t="array" ref="H384">SUM(IF('2014-2017 Projects'!$Y$5:$Y$258="KPA5",'2014-2017 Projects'!$AK$5:$AK$258,0))</f>
        <v>1000000</v>
      </c>
      <c r="I384" s="318"/>
      <c r="J384" s="318"/>
      <c r="K384" s="318"/>
      <c r="L384" s="318"/>
      <c r="M384" s="318"/>
      <c r="N384" s="318"/>
      <c r="O384" s="318"/>
      <c r="P384" s="318"/>
      <c r="Q384" s="318"/>
      <c r="R384" s="318"/>
      <c r="S384" s="318"/>
      <c r="T384" s="318"/>
      <c r="U384" s="318"/>
      <c r="V384" s="318"/>
      <c r="W384" s="318"/>
      <c r="X384" s="318"/>
      <c r="Y384" s="318"/>
      <c r="Z384" s="318"/>
      <c r="AA384" s="318"/>
      <c r="AB384" s="318"/>
      <c r="AC384" s="318"/>
      <c r="AD384" s="318"/>
      <c r="AE384" s="318"/>
      <c r="AF384" s="318"/>
      <c r="AG384" s="318"/>
      <c r="AH384" s="318"/>
      <c r="AI384" s="318"/>
      <c r="AJ384" s="318"/>
      <c r="AK384" s="318"/>
      <c r="AL384" s="318"/>
      <c r="AM384" s="390">
        <f t="shared" si="85"/>
        <v>0</v>
      </c>
      <c r="AN384" s="390">
        <f t="shared" si="86"/>
        <v>0</v>
      </c>
      <c r="AO384" s="318">
        <f t="array" ref="AO384">SUM(IF('2014-2017 Projects'!$Y$5:$Y$258="KPA5",'2014-2017 Projects'!$CG$5:$CG$258,0))</f>
        <v>1000000</v>
      </c>
      <c r="AP384" s="318">
        <f t="array" ref="AP384">SUM(IF('2014-2017 Projects'!$Y$5:$Y$258="KPA5",'2014-2017 Projects'!$CH$5:$CH$258,0))</f>
        <v>1000000</v>
      </c>
    </row>
    <row r="385" spans="1:42" ht="13.5" thickBot="1" x14ac:dyDescent="0.25">
      <c r="A385" s="241" t="s">
        <v>410</v>
      </c>
      <c r="B385" s="234" t="e">
        <f>SUM(B379:B384)</f>
        <v>#REF!</v>
      </c>
      <c r="C385" s="234" t="e">
        <f>SUM(C379:C384)</f>
        <v>#REF!</v>
      </c>
      <c r="D385" s="234" t="e">
        <f>SUM(D379:D384)</f>
        <v>#REF!</v>
      </c>
      <c r="E385" s="234" t="e">
        <f>SUM(E379:E384)</f>
        <v>#REF!</v>
      </c>
      <c r="F385" s="234" t="e">
        <f>SUM(F379:F384)</f>
        <v>#REF!</v>
      </c>
      <c r="G385" s="234"/>
      <c r="H385" s="234">
        <f>SUM(H379:H384)</f>
        <v>940007423</v>
      </c>
      <c r="I385" s="234"/>
      <c r="J385" s="234"/>
      <c r="K385" s="234"/>
      <c r="L385" s="234"/>
      <c r="M385" s="234"/>
      <c r="N385" s="234"/>
      <c r="O385" s="234"/>
      <c r="P385" s="234"/>
      <c r="Q385" s="234"/>
      <c r="R385" s="234"/>
      <c r="S385" s="234"/>
      <c r="T385" s="234"/>
      <c r="U385" s="234"/>
      <c r="V385" s="234"/>
      <c r="W385" s="234"/>
      <c r="X385" s="234"/>
      <c r="Y385" s="234"/>
      <c r="Z385" s="234"/>
      <c r="AA385" s="234"/>
      <c r="AB385" s="234"/>
      <c r="AC385" s="234"/>
      <c r="AD385" s="234"/>
      <c r="AE385" s="234"/>
      <c r="AF385" s="234"/>
      <c r="AG385" s="234"/>
      <c r="AH385" s="234"/>
      <c r="AI385" s="234"/>
      <c r="AJ385" s="234"/>
      <c r="AK385" s="234"/>
      <c r="AL385" s="234"/>
      <c r="AM385" s="392">
        <f t="shared" si="85"/>
        <v>0</v>
      </c>
      <c r="AN385" s="392">
        <f t="shared" si="86"/>
        <v>0</v>
      </c>
      <c r="AO385" s="234">
        <f>SUM(AO379:AO384)</f>
        <v>1382127261</v>
      </c>
      <c r="AP385" s="234">
        <f>SUM(AP379:AP384)</f>
        <v>1385226151</v>
      </c>
    </row>
    <row r="388" spans="1:42" x14ac:dyDescent="0.2">
      <c r="A388" s="229" t="s">
        <v>770</v>
      </c>
      <c r="B388" s="230"/>
      <c r="C388" s="230"/>
      <c r="D388" s="230"/>
      <c r="E388" s="230"/>
      <c r="F388" s="230"/>
      <c r="G388" s="230"/>
      <c r="H388" s="230"/>
      <c r="I388" s="230"/>
      <c r="J388" s="230"/>
      <c r="K388" s="230"/>
      <c r="L388" s="230"/>
      <c r="M388" s="230"/>
      <c r="N388" s="230"/>
      <c r="O388" s="230"/>
      <c r="P388" s="230"/>
      <c r="Q388" s="230"/>
      <c r="R388" s="230"/>
      <c r="S388" s="230"/>
      <c r="T388" s="230"/>
      <c r="U388" s="230"/>
      <c r="V388" s="230"/>
      <c r="W388" s="230"/>
      <c r="X388" s="230"/>
      <c r="Y388" s="230"/>
      <c r="Z388" s="230"/>
      <c r="AA388" s="230"/>
      <c r="AB388" s="230"/>
      <c r="AC388" s="230"/>
      <c r="AD388" s="230"/>
      <c r="AE388" s="230"/>
      <c r="AF388" s="230"/>
      <c r="AG388" s="230"/>
      <c r="AH388" s="230"/>
      <c r="AI388" s="230"/>
      <c r="AJ388" s="230"/>
      <c r="AK388" s="230"/>
      <c r="AL388" s="230"/>
      <c r="AM388" s="230"/>
      <c r="AN388" s="230"/>
    </row>
    <row r="389" spans="1:42" ht="48" x14ac:dyDescent="0.2">
      <c r="A389" s="231" t="s">
        <v>399</v>
      </c>
      <c r="B389" s="139" t="s">
        <v>297</v>
      </c>
      <c r="C389" s="139" t="s">
        <v>297</v>
      </c>
      <c r="D389" s="139" t="s">
        <v>297</v>
      </c>
      <c r="E389" s="139" t="s">
        <v>297</v>
      </c>
      <c r="F389" s="139" t="s">
        <v>297</v>
      </c>
      <c r="G389" s="139"/>
      <c r="H389" s="139" t="s">
        <v>615</v>
      </c>
      <c r="I389" s="139" t="s">
        <v>695</v>
      </c>
      <c r="J389" s="389" t="s">
        <v>589</v>
      </c>
      <c r="K389" s="389" t="s">
        <v>590</v>
      </c>
      <c r="L389" s="389" t="s">
        <v>591</v>
      </c>
      <c r="M389" s="389" t="s">
        <v>592</v>
      </c>
      <c r="N389" s="389" t="s">
        <v>593</v>
      </c>
      <c r="O389" s="389" t="s">
        <v>594</v>
      </c>
      <c r="P389" s="389" t="s">
        <v>595</v>
      </c>
      <c r="Q389" s="389" t="s">
        <v>596</v>
      </c>
      <c r="R389" s="389" t="s">
        <v>597</v>
      </c>
      <c r="S389" s="389" t="s">
        <v>598</v>
      </c>
      <c r="T389" s="389" t="s">
        <v>599</v>
      </c>
      <c r="U389" s="389" t="s">
        <v>600</v>
      </c>
      <c r="V389" s="389" t="s">
        <v>602</v>
      </c>
      <c r="W389" s="389" t="s">
        <v>603</v>
      </c>
      <c r="X389" s="389" t="s">
        <v>604</v>
      </c>
      <c r="Y389" s="389" t="s">
        <v>605</v>
      </c>
      <c r="Z389" s="389" t="s">
        <v>606</v>
      </c>
      <c r="AA389" s="389" t="s">
        <v>607</v>
      </c>
      <c r="AB389" s="389" t="s">
        <v>609</v>
      </c>
      <c r="AC389" s="389" t="s">
        <v>608</v>
      </c>
      <c r="AD389" s="389" t="s">
        <v>610</v>
      </c>
      <c r="AE389" s="389" t="s">
        <v>611</v>
      </c>
      <c r="AF389" s="389" t="s">
        <v>612</v>
      </c>
      <c r="AG389" s="389" t="s">
        <v>613</v>
      </c>
      <c r="AH389" s="389" t="s">
        <v>203</v>
      </c>
      <c r="AI389" s="389" t="s">
        <v>617</v>
      </c>
      <c r="AJ389" s="389" t="s">
        <v>220</v>
      </c>
      <c r="AK389" s="389" t="s">
        <v>618</v>
      </c>
      <c r="AL389" s="389" t="s">
        <v>619</v>
      </c>
      <c r="AM389" s="389" t="s">
        <v>620</v>
      </c>
      <c r="AN389" s="389" t="s">
        <v>621</v>
      </c>
    </row>
    <row r="390" spans="1:42" x14ac:dyDescent="0.2">
      <c r="A390" s="142" t="s">
        <v>35</v>
      </c>
      <c r="B390" s="318" t="e">
        <f t="array" ref="B390">SUM(IF('[5]2013-2016 Projects'!$E$4:$E$202="Water",'[5]2013-2016 Projects'!$V$4:$V$202,0))</f>
        <v>#REF!</v>
      </c>
      <c r="C390" s="318" t="e">
        <f t="array" ref="C390">SUM(IF('[5]2013-2016 Projects'!$E$4:$E$202="Water",'[5]2013-2016 Projects'!$V$4:$V$202,0))</f>
        <v>#REF!</v>
      </c>
      <c r="D390" s="318">
        <f t="array" ref="D390">SUM(IF('2014-2017 Projects'!$J$5:$J$258="Water",'2014-2017 Projects'!$AG$5:$AG$258,0))</f>
        <v>10000000</v>
      </c>
      <c r="E390" s="318">
        <f t="array" ref="E390">SUM(IF('2014-2017 Projects'!$J$5:$J$258="Water",'2014-2017 Projects'!$AH$5:$AH$258,0))</f>
        <v>0</v>
      </c>
      <c r="F390" s="318">
        <f t="array" ref="F390">SUM(IF('2014-2017 Projects'!$J$5:$J$258="Water",'2014-2017 Projects'!$AI$5:$AI$258,0))</f>
        <v>10000000</v>
      </c>
      <c r="G390" s="318"/>
      <c r="H390" s="318">
        <f t="array" ref="H390">SUM(IF('2014-2017 Projects'!$D$5:$D$258="Water",'2014-2017 Projects'!$AK$5:$AK$258,0))</f>
        <v>57500000</v>
      </c>
      <c r="I390" s="318">
        <f t="array" ref="I390">SUM(IF('2014-2017 Projects'!$D$5:$D$258="Water",'2014-2017 Projects'!$AM$5:$AM$258,0))</f>
        <v>54926245</v>
      </c>
      <c r="J390" s="318">
        <f t="array" ref="J390">SUM(IF('2014-2017 Projects'!$D$5:$D$258="Water",'2014-2017 Projects'!$AN$5:$AN$258,0))</f>
        <v>0</v>
      </c>
      <c r="K390" s="318">
        <f t="array" ref="K390">SUM(IF('2014-2017 Projects'!$D$5:$D$258="Water",'2014-2017 Projects'!$AP$5:$AP$258,0))</f>
        <v>0</v>
      </c>
      <c r="L390" s="318">
        <f t="array" ref="L390">SUM(IF('2014-2017 Projects'!$D$5:$D$258="Water",'2014-2017 Projects'!$AQ$5:$AQ$258,0))</f>
        <v>1578845.64</v>
      </c>
      <c r="M390" s="318">
        <f t="array" ref="M390">SUM(IF('2014-2017 Projects'!$D$5:$D$258="Water",'2014-2017 Projects'!$AS$5:$AS$258,0))</f>
        <v>1783625.85</v>
      </c>
      <c r="N390" s="318">
        <f t="array" ref="N390">SUM(IF('2014-2017 Projects'!$D$5:$D$258="Water",'2014-2017 Projects'!$AT$5:$AT$258,0))</f>
        <v>929320.16</v>
      </c>
      <c r="O390" s="318">
        <f t="array" ref="O390">SUM(IF('2014-2017 Projects'!$D$5:$D$258="Water",'2014-2017 Projects'!$AV$5:$AV$258,0))</f>
        <v>1054454.08</v>
      </c>
      <c r="P390" s="318">
        <f t="array" ref="P390">SUM(IF('2014-2017 Projects'!$D$5:$D$258="Water",'2014-2017 Projects'!$AW$5:$AW$258,0))</f>
        <v>2757628.9699999997</v>
      </c>
      <c r="Q390" s="318">
        <f t="array" ref="Q390">SUM(IF('2014-2017 Projects'!$D$5:$D$258="Water",'2014-2017 Projects'!$AY$5:$AY$258,0))</f>
        <v>2977828.6399999997</v>
      </c>
      <c r="R390" s="318"/>
      <c r="S390" s="318"/>
      <c r="T390" s="318"/>
      <c r="U390" s="318"/>
      <c r="V390" s="318"/>
      <c r="W390" s="318"/>
      <c r="X390" s="318"/>
      <c r="Y390" s="318"/>
      <c r="Z390" s="318"/>
      <c r="AA390" s="318"/>
      <c r="AB390" s="318"/>
      <c r="AC390" s="318"/>
      <c r="AD390" s="318"/>
      <c r="AE390" s="318"/>
      <c r="AF390" s="318"/>
      <c r="AG390" s="318"/>
      <c r="AH390" s="318">
        <f>J390+L390+N390+P390+R390+T390+V390+X390+Z390+AB390+AD390+AF390</f>
        <v>5265794.7699999996</v>
      </c>
      <c r="AI390" s="318">
        <f>K390+M390+O390+Q390+S390+U390+W390+Y390+AA390+AC390+AE390+AG390</f>
        <v>5815908.5700000003</v>
      </c>
      <c r="AJ390" s="318">
        <f t="array" ref="AJ390">SUM(IF('2014-2017 Projects'!$J$5:$J$258="Water",'2014-2017 Projects'!$BX$5:$BX$258,0))</f>
        <v>11705483.790000001</v>
      </c>
      <c r="AK390" s="318">
        <f>I390-AH390</f>
        <v>49660450.230000004</v>
      </c>
      <c r="AL390" s="318">
        <f>I390-AI390</f>
        <v>49110336.43</v>
      </c>
      <c r="AM390" s="390">
        <f>AH390/I390</f>
        <v>9.587028514328623E-2</v>
      </c>
      <c r="AN390" s="390">
        <f>AI390/I390</f>
        <v>0.10588578501952937</v>
      </c>
    </row>
    <row r="391" spans="1:42" x14ac:dyDescent="0.2">
      <c r="A391" s="142" t="s">
        <v>73</v>
      </c>
      <c r="B391" s="318" t="e">
        <f t="array" ref="B391">SUM(IF('[5]2013-2016 Projects'!$E$4:$E$202="Waste Water",'[5]2013-2016 Projects'!$V$4:$V$202,0))</f>
        <v>#REF!</v>
      </c>
      <c r="C391" s="318" t="e">
        <f t="array" ref="C391">SUM(IF('[5]2013-2016 Projects'!$E$4:$E$202="Waste Water",'[5]2013-2016 Projects'!$V$4:$V$202,0))</f>
        <v>#REF!</v>
      </c>
      <c r="D391" s="318">
        <f t="array" ref="D391">SUM(IF('2014-2017 Projects'!$J$5:$J$258="Waste Water",'2014-2017 Projects'!$AG$5:$AG$258,0))</f>
        <v>57854000</v>
      </c>
      <c r="E391" s="318">
        <f t="array" ref="E391">SUM(IF('2014-2017 Projects'!$J$5:$J$258="Waste Water",'2014-2017 Projects'!$AH$5:$AH$258,0))</f>
        <v>0</v>
      </c>
      <c r="F391" s="318">
        <f t="array" ref="F391">SUM(IF('2014-2017 Projects'!$J$5:$J$258="Waste Water",'2014-2017 Projects'!$AI$5:$AI$258,0))</f>
        <v>57854000</v>
      </c>
      <c r="G391" s="318"/>
      <c r="H391" s="318">
        <f t="array" ref="H391">SUM(IF('2014-2017 Projects'!$D$5:$D$258="Waste Water",'2014-2017 Projects'!$AK$5:$AK$258,0))</f>
        <v>176507892</v>
      </c>
      <c r="I391" s="318">
        <f t="array" ref="I391">SUM(IF('2014-2017 Projects'!$D$5:$D$258="Waste Water",'2014-2017 Projects'!$AM$5:$AM$258,0))</f>
        <v>179081647</v>
      </c>
      <c r="J391" s="318">
        <f t="array" ref="J391">SUM(IF('2014-2017 Projects'!$D$5:$D$258="Waste Water",'2014-2017 Projects'!$AN$5:$AN$258,0))</f>
        <v>-199830.90999999997</v>
      </c>
      <c r="K391" s="318">
        <f t="array" ref="K391">SUM(IF('2014-2017 Projects'!$D$5:$D$258="Waste Water",'2014-2017 Projects'!$AP$5:$AP$258,0))</f>
        <v>-199830.90999999997</v>
      </c>
      <c r="L391" s="318">
        <f t="array" ref="L391">SUM(IF('2014-2017 Projects'!$D$5:$D$258="Waste Water",'2014-2017 Projects'!$AQ$5:$AQ$258,0))</f>
        <v>10076331.119999999</v>
      </c>
      <c r="M391" s="318">
        <f t="array" ref="M391">SUM(IF('2014-2017 Projects'!$D$5:$D$258="Waste Water",'2014-2017 Projects'!$AS$5:$AS$258,0))</f>
        <v>11392071.699999999</v>
      </c>
      <c r="N391" s="318">
        <f t="array" ref="N391">SUM(IF('2014-2017 Projects'!$D$5:$D$258="Waste Water",'2014-2017 Projects'!$AT$5:$AT$258,0))</f>
        <v>7571347.3499999996</v>
      </c>
      <c r="O391" s="318">
        <f t="array" ref="O391">SUM(IF('2014-2017 Projects'!$D$5:$D$258="Waste Water",'2014-2017 Projects'!$AV$5:$AV$258,0))</f>
        <v>9263739.9100000001</v>
      </c>
      <c r="P391" s="318">
        <f t="array" ref="P391">SUM(IF('2014-2017 Projects'!$D$5:$D$258="Waste Water",'2014-2017 Projects'!$AW$5:$AW$258,0))</f>
        <v>7821134.1199999992</v>
      </c>
      <c r="Q391" s="318">
        <f t="array" ref="Q391">SUM(IF('2014-2017 Projects'!$D$5:$D$258="Waste Water",'2014-2017 Projects'!$AY$5:$AY$258,0))</f>
        <v>8869106.1400000006</v>
      </c>
      <c r="R391" s="318"/>
      <c r="S391" s="318"/>
      <c r="T391" s="318"/>
      <c r="U391" s="318"/>
      <c r="V391" s="318"/>
      <c r="W391" s="318"/>
      <c r="X391" s="318"/>
      <c r="Y391" s="318"/>
      <c r="Z391" s="318"/>
      <c r="AA391" s="318"/>
      <c r="AB391" s="318"/>
      <c r="AC391" s="318"/>
      <c r="AD391" s="318"/>
      <c r="AE391" s="318"/>
      <c r="AF391" s="318"/>
      <c r="AG391" s="318"/>
      <c r="AH391" s="318">
        <f t="shared" ref="AH391:AH393" si="87">J391+L391+N391+P391+R391+T391+V391+X391+Z391+AB391+AD391+AF391</f>
        <v>25268981.68</v>
      </c>
      <c r="AI391" s="318">
        <f t="shared" ref="AI391:AI402" si="88">K391+M391+O391+Q391+S391+U391+W391+Y391+AA391+AC391+AE391+AG391</f>
        <v>29325086.84</v>
      </c>
      <c r="AJ391" s="318">
        <f t="array" ref="AJ391">SUM(IF('2014-2017 Projects'!$J$5:$J$258="Waste Water",'2014-2017 Projects'!$BX$5:$BX$258,0))</f>
        <v>1822399.27</v>
      </c>
      <c r="AK391" s="318">
        <f t="shared" ref="AK391:AK402" si="89">I391-AH391</f>
        <v>153812665.31999999</v>
      </c>
      <c r="AL391" s="318">
        <f t="shared" ref="AL391:AL402" si="90">I391-AI391</f>
        <v>149756560.16</v>
      </c>
      <c r="AM391" s="390">
        <f t="shared" ref="AM391:AM403" si="91">AH391/I391</f>
        <v>0.1411031342592019</v>
      </c>
      <c r="AN391" s="390">
        <f t="shared" ref="AN391:AN403" si="92">AI391/I391</f>
        <v>0.16375260855178533</v>
      </c>
    </row>
    <row r="392" spans="1:42" x14ac:dyDescent="0.2">
      <c r="A392" s="142" t="s">
        <v>14</v>
      </c>
      <c r="B392" s="318" t="e">
        <f t="array" ref="B392">SUM(IF('[5]2013-2016 Projects'!$E$4:$E$202="electricity",'[5]2013-2016 Projects'!$V$4:$V$202,0))</f>
        <v>#REF!</v>
      </c>
      <c r="C392" s="318" t="e">
        <f t="array" ref="C392">SUM(IF('[5]2013-2016 Projects'!$E$4:$E$202="electricity",'[5]2013-2016 Projects'!$V$4:$V$202,0))</f>
        <v>#REF!</v>
      </c>
      <c r="D392" s="318">
        <f t="array" ref="D392">SUM(IF('2014-2017 Projects'!$J$5:$J$258="Electricity",'2014-2017 Projects'!$AG$5:$AG$258,0))</f>
        <v>12892331.879999999</v>
      </c>
      <c r="E392" s="318">
        <f t="array" ref="E392">SUM(IF('2014-2017 Projects'!$J$5:$J$258="Electricity",'2014-2017 Projects'!$AH$5:$AH$258,0))</f>
        <v>29084305</v>
      </c>
      <c r="F392" s="318">
        <f t="array" ref="F392">SUM(IF('2014-2017 Projects'!$J$5:$J$258="Electricity",'2014-2017 Projects'!$AI$5:$AI$258,0))</f>
        <v>41976636.879999995</v>
      </c>
      <c r="G392" s="318"/>
      <c r="H392" s="318">
        <f t="array" ref="H392">SUM(IF('2014-2017 Projects'!$D$5:$D$258="Electricity",'2014-2017 Projects'!$AK$5:$AK$258,0))</f>
        <v>27699000</v>
      </c>
      <c r="I392" s="318">
        <f t="array" ref="I392">SUM(IF('2014-2017 Projects'!$D$5:$D$258="Electricity",'2014-2017 Projects'!$AM$5:$AM$258,0))</f>
        <v>27699000</v>
      </c>
      <c r="J392" s="318">
        <f t="array" ref="J392">SUM(IF('2014-2017 Projects'!$D$5:$D$258="Electricity",'2014-2017 Projects'!$AN$5:$AN$258,0))</f>
        <v>0</v>
      </c>
      <c r="K392" s="318">
        <f t="array" ref="K392">SUM(IF('2014-2017 Projects'!$D$5:$D$258="Electricity",'2014-2017 Projects'!$AP$5:$AP$258,0))</f>
        <v>0</v>
      </c>
      <c r="L392" s="318">
        <f t="array" ref="L392">SUM(IF('2014-2017 Projects'!$D$5:$D$258="Electricity",'2014-2017 Projects'!$AQ$5:$AQ$258,0))</f>
        <v>131675.29</v>
      </c>
      <c r="M392" s="318">
        <f t="array" ref="M392">SUM(IF('2014-2017 Projects'!$D$5:$D$258="Electricity",'2014-2017 Projects'!$AS$5:$AS$258,0))</f>
        <v>150109.83000000002</v>
      </c>
      <c r="N392" s="318">
        <f t="array" ref="N392">SUM(IF('2014-2017 Projects'!$D$5:$D$258="Electricity",'2014-2017 Projects'!$AT$5:$AT$258,0))</f>
        <v>374455.86</v>
      </c>
      <c r="O392" s="318">
        <f t="array" ref="O392">SUM(IF('2014-2017 Projects'!$D$5:$D$258="Electricity",'2014-2017 Projects'!$AV$5:$AV$258,0))</f>
        <v>426879.68</v>
      </c>
      <c r="P392" s="318">
        <f t="array" ref="P392">SUM(IF('2014-2017 Projects'!$D$5:$D$258="Electricity",'2014-2017 Projects'!$AW$5:$AW$258,0))</f>
        <v>1792320.83</v>
      </c>
      <c r="Q392" s="318">
        <f t="array" ref="Q392">SUM(IF('2014-2017 Projects'!$D$5:$D$258="Electricity",'2014-2017 Projects'!$AY$5:$AY$258,0))</f>
        <v>2028903.03</v>
      </c>
      <c r="R392" s="318"/>
      <c r="S392" s="318"/>
      <c r="T392" s="318"/>
      <c r="U392" s="318"/>
      <c r="V392" s="318"/>
      <c r="W392" s="318"/>
      <c r="X392" s="318"/>
      <c r="Y392" s="318"/>
      <c r="Z392" s="318"/>
      <c r="AA392" s="318"/>
      <c r="AB392" s="318"/>
      <c r="AC392" s="318"/>
      <c r="AD392" s="318"/>
      <c r="AE392" s="318"/>
      <c r="AF392" s="318"/>
      <c r="AG392" s="318"/>
      <c r="AH392" s="318">
        <f t="shared" si="87"/>
        <v>2298451.98</v>
      </c>
      <c r="AI392" s="318">
        <f t="shared" si="88"/>
        <v>2605892.54</v>
      </c>
      <c r="AJ392" s="318">
        <f t="array" ref="AJ392">SUM(IF('2014-2017 Projects'!$J$5:$J$258="Electricity",'2014-2017 Projects'!$BX$5:$BX$258,0))</f>
        <v>16898187.66</v>
      </c>
      <c r="AK392" s="318">
        <f t="shared" si="89"/>
        <v>25400548.02</v>
      </c>
      <c r="AL392" s="318">
        <f t="shared" si="90"/>
        <v>25093107.460000001</v>
      </c>
      <c r="AM392" s="390">
        <f t="shared" si="91"/>
        <v>8.2979601429654493E-2</v>
      </c>
      <c r="AN392" s="390">
        <f t="shared" si="92"/>
        <v>9.4078939311888515E-2</v>
      </c>
    </row>
    <row r="393" spans="1:42" x14ac:dyDescent="0.2">
      <c r="A393" s="169" t="s">
        <v>401</v>
      </c>
      <c r="B393" s="168" t="e">
        <f t="array" ref="B393">SUM(IF('[5]2013-2016 Projects'!$E$4:$E$202="Roads",'[5]2013-2016 Projects'!$V$4:$V$202,0))</f>
        <v>#REF!</v>
      </c>
      <c r="C393" s="168" t="e">
        <f t="array" ref="C393">SUM(IF('[5]2013-2016 Projects'!$E$4:$E$202="Roads",'[5]2013-2016 Projects'!$V$4:$V$202,0))</f>
        <v>#REF!</v>
      </c>
      <c r="D393" s="168">
        <f t="array" ref="D393">SUM(IF('2014-2017 Projects'!$J$5:$J$258="Roads",'2014-2017 Projects'!$AG$5:$AG$258,0))</f>
        <v>9000000</v>
      </c>
      <c r="E393" s="168">
        <f t="array" ref="E393">SUM(IF('2014-2017 Projects'!$J$5:$J$258="Roads",'2014-2017 Projects'!$AH$5:$AH$258,0))</f>
        <v>0</v>
      </c>
      <c r="F393" s="168">
        <f t="array" ref="F393">SUM(IF('2014-2017 Projects'!$J$5:$J$258="Roads",'2014-2017 Projects'!$AI$5:$AI$258,0))</f>
        <v>9000000</v>
      </c>
      <c r="G393" s="168"/>
      <c r="H393" s="168">
        <f t="array" ref="H393">SUM(IF('2014-2017 Projects'!$D$5:$D$258="Roads",'2014-2017 Projects'!$AK$5:$AK$258,0))</f>
        <v>198000000</v>
      </c>
      <c r="I393" s="168">
        <f t="array" ref="I393">SUM(IF('2014-2017 Projects'!$D$5:$D$258="Roads",'2014-2017 Projects'!$AM$5:$AM$258,0))</f>
        <v>198000000</v>
      </c>
      <c r="J393" s="168">
        <f t="array" ref="J393">SUM(IF('2014-2017 Projects'!$D$5:$D$258="Roads",'2014-2017 Projects'!$AN$5:$AN$258,0))</f>
        <v>-47814.16</v>
      </c>
      <c r="K393" s="168">
        <f t="array" ref="K393">SUM(IF('2014-2017 Projects'!$D$5:$D$258="Roads",'2014-2017 Projects'!$AP$5:$AP$258,0))</f>
        <v>-47814.16</v>
      </c>
      <c r="L393" s="168">
        <f t="array" ref="L393">SUM(IF('2014-2017 Projects'!$D$5:$D$258="Roads",'2014-2017 Projects'!$AQ$5:$AQ$258,0))</f>
        <v>9974048.5600000005</v>
      </c>
      <c r="M393" s="168">
        <f t="array" ref="M393">SUM(IF('2014-2017 Projects'!$D$5:$D$258="Roads",'2014-2017 Projects'!$AS$5:$AS$258,0))</f>
        <v>11314616.130000001</v>
      </c>
      <c r="N393" s="168">
        <f t="array" ref="N393">SUM(IF('2014-2017 Projects'!$D$5:$D$258="Roads",'2014-2017 Projects'!$AT$5:$AT$258,0))</f>
        <v>19383637.41</v>
      </c>
      <c r="O393" s="168">
        <f t="array" ref="O393">SUM(IF('2014-2017 Projects'!$D$5:$D$258="Roads",'2014-2017 Projects'!$AV$5:$AV$258,0))</f>
        <v>21311489.229999997</v>
      </c>
      <c r="P393" s="168">
        <f t="array" ref="P393">SUM(IF('2014-2017 Projects'!$D$5:$D$258="Roads",'2014-2017 Projects'!$AW$5:$AW$258,0))</f>
        <v>24278224.449999999</v>
      </c>
      <c r="Q393" s="168">
        <f t="array" ref="Q393">SUM(IF('2014-2017 Projects'!$D$5:$D$258="Roads",'2014-2017 Projects'!$AY$5:$AY$258,0))</f>
        <v>27513048.860000003</v>
      </c>
      <c r="R393" s="168"/>
      <c r="S393" s="168"/>
      <c r="T393" s="168"/>
      <c r="U393" s="168"/>
      <c r="V393" s="168"/>
      <c r="W393" s="168"/>
      <c r="X393" s="168"/>
      <c r="Y393" s="168"/>
      <c r="Z393" s="168"/>
      <c r="AA393" s="168"/>
      <c r="AB393" s="168"/>
      <c r="AC393" s="168"/>
      <c r="AD393" s="168"/>
      <c r="AE393" s="168"/>
      <c r="AF393" s="168"/>
      <c r="AG393" s="168"/>
      <c r="AH393" s="318">
        <f t="shared" si="87"/>
        <v>53588096.260000005</v>
      </c>
      <c r="AI393" s="318">
        <f t="shared" si="88"/>
        <v>60091340.060000002</v>
      </c>
      <c r="AJ393" s="168">
        <f t="array" ref="AJ393">SUM(IF('2014-2017 Projects'!$J$5:$J$258="Roads",'2014-2017 Projects'!$BX$5:$BX$258,0))</f>
        <v>12115133.68</v>
      </c>
      <c r="AK393" s="318">
        <f t="shared" si="89"/>
        <v>144411903.74000001</v>
      </c>
      <c r="AL393" s="318">
        <f t="shared" si="90"/>
        <v>137908659.94</v>
      </c>
      <c r="AM393" s="390">
        <f t="shared" si="91"/>
        <v>0.27064695080808082</v>
      </c>
      <c r="AN393" s="390">
        <f t="shared" si="92"/>
        <v>0.30349161646464645</v>
      </c>
    </row>
    <row r="394" spans="1:42" x14ac:dyDescent="0.2">
      <c r="A394" s="232" t="s">
        <v>13</v>
      </c>
      <c r="B394" s="168" t="e">
        <f t="array" ref="B394">SUM(IF('[5]2013-2016 Projects'!$E$4:$E$202="Housing",'[5]2013-2016 Projects'!$V$4:$V$202,0))</f>
        <v>#REF!</v>
      </c>
      <c r="C394" s="168" t="e">
        <f t="array" ref="C394">SUM(IF('[5]2013-2016 Projects'!$E$4:$E$202="Housing",'[5]2013-2016 Projects'!$V$4:$V$202,0))</f>
        <v>#REF!</v>
      </c>
      <c r="D394" s="168">
        <f t="array" ref="D394">SUM(IF('2014-2017 Projects'!$J$5:$J$258="Housing",'2014-2017 Projects'!$AG$5:$AG$258,0))</f>
        <v>81695940</v>
      </c>
      <c r="E394" s="168">
        <f t="array" ref="E394">SUM(IF('2014-2017 Projects'!$J$5:$J$258="Housing",'2014-2017 Projects'!$AH$5:$AH$258,0))</f>
        <v>-800000</v>
      </c>
      <c r="F394" s="168">
        <f t="array" ref="F394">SUM(IF('2014-2017 Projects'!$J$5:$J$258="Housing",'2014-2017 Projects'!$AI$5:$AI$258,0))</f>
        <v>80895940</v>
      </c>
      <c r="G394" s="168"/>
      <c r="H394" s="168">
        <f t="array" ref="H394">SUM(IF('2014-2017 Projects'!$D$5:$D$258="Housing",'2014-2017 Projects'!$AK$5:$AK$258,0))</f>
        <v>60867608</v>
      </c>
      <c r="I394" s="168">
        <f t="array" ref="I394">SUM(IF('2014-2017 Projects'!$D$5:$D$258="Housing",'2014-2017 Projects'!$AM$5:$AM$258,0))</f>
        <v>60867608</v>
      </c>
      <c r="J394" s="168">
        <f t="array" ref="J394">SUM(IF('2014-2017 Projects'!$D$5:$D$258="Housing",'2014-2017 Projects'!$AN$5:$AN$258,0))</f>
        <v>2174423.21</v>
      </c>
      <c r="K394" s="168">
        <f t="array" ref="K394">SUM(IF('2014-2017 Projects'!$D$5:$D$258="Housing",'2014-2017 Projects'!$AP$5:$AP$258,0))</f>
        <v>2478842.46</v>
      </c>
      <c r="L394" s="168">
        <f t="array" ref="L394">SUM(IF('2014-2017 Projects'!$D$5:$D$258="Housing",'2014-2017 Projects'!$AQ$5:$AQ$258,0))</f>
        <v>4158777.3400000003</v>
      </c>
      <c r="M394" s="168">
        <f t="array" ref="M394">SUM(IF('2014-2017 Projects'!$D$5:$D$258="Housing",'2014-2017 Projects'!$AS$5:$AS$258,0))</f>
        <v>4707208.1100000013</v>
      </c>
      <c r="N394" s="168">
        <f t="array" ref="N394">SUM(IF('2014-2017 Projects'!$D$5:$D$258="Housing",'2014-2017 Projects'!$AT$5:$AT$258,0))</f>
        <v>7217125.3300000001</v>
      </c>
      <c r="O394" s="168">
        <f t="array" ref="O394">SUM(IF('2014-2017 Projects'!$D$5:$D$258="Housing",'2014-2017 Projects'!$AV$5:$AV$258,0))</f>
        <v>7989342.0399999991</v>
      </c>
      <c r="P394" s="168">
        <f t="array" ref="P394">SUM(IF('2014-2017 Projects'!$D$5:$D$258="Housing",'2014-2017 Projects'!$AW$5:$AW$258,0))</f>
        <v>4750526.24</v>
      </c>
      <c r="Q394" s="168">
        <f t="array" ref="Q394">SUM(IF('2014-2017 Projects'!$D$5:$D$258="Housing",'2014-2017 Projects'!$AY$5:$AY$258,0))</f>
        <v>5441719.79</v>
      </c>
      <c r="R394" s="168"/>
      <c r="S394" s="168"/>
      <c r="T394" s="168"/>
      <c r="U394" s="168"/>
      <c r="V394" s="168"/>
      <c r="W394" s="168"/>
      <c r="X394" s="168"/>
      <c r="Y394" s="168"/>
      <c r="Z394" s="168"/>
      <c r="AA394" s="168"/>
      <c r="AB394" s="168"/>
      <c r="AC394" s="168"/>
      <c r="AD394" s="168"/>
      <c r="AE394" s="168"/>
      <c r="AF394" s="168"/>
      <c r="AG394" s="168"/>
      <c r="AH394" s="318">
        <f>J394+L394+N394+P394+R394+T394+V394+X394+Z394+AB394+AD394+AF394</f>
        <v>18300852.120000001</v>
      </c>
      <c r="AI394" s="318">
        <f t="shared" si="88"/>
        <v>20617112.399999999</v>
      </c>
      <c r="AJ394" s="168">
        <f t="array" ref="AJ394">SUM(IF('2014-2017 Projects'!$J$5:$J$258="Housing",'2014-2017 Projects'!$BX$5:$BX$258,0))</f>
        <v>226959.32</v>
      </c>
      <c r="AK394" s="318">
        <f t="shared" si="89"/>
        <v>42566755.879999995</v>
      </c>
      <c r="AL394" s="318">
        <f t="shared" si="90"/>
        <v>40250495.600000001</v>
      </c>
      <c r="AM394" s="390">
        <f t="shared" si="91"/>
        <v>0.30066652397445948</v>
      </c>
      <c r="AN394" s="390">
        <f t="shared" si="92"/>
        <v>0.33872059503307572</v>
      </c>
    </row>
    <row r="395" spans="1:42" x14ac:dyDescent="0.2">
      <c r="A395" s="233" t="s">
        <v>439</v>
      </c>
      <c r="B395" s="168" t="e">
        <f t="array" ref="B395">SUM(IF('[5]2013-2016 Projects'!$E$4:$E$202="Planning and Development",'[5]2013-2016 Projects'!$V$4:$V$202,0))</f>
        <v>#REF!</v>
      </c>
      <c r="C395" s="168" t="e">
        <f t="array" ref="C395">SUM(IF('[5]2013-2016 Projects'!$E$4:$E$202="Planning and Development",'[5]2013-2016 Projects'!$V$4:$V$202,0))</f>
        <v>#REF!</v>
      </c>
      <c r="D395" s="168">
        <f t="array" ref="D395">SUM(IF('2014-2017 Projects'!$J$5:$J$258="Planning and development",'2014-2017 Projects'!$AG$5:$AG$258,0))</f>
        <v>22000000</v>
      </c>
      <c r="E395" s="168">
        <f t="array" ref="E395">SUM(IF('2014-2017 Projects'!$J$5:$J$258="Planning and development",'2014-2017 Projects'!$AH$5:$AH$258,0))</f>
        <v>800000</v>
      </c>
      <c r="F395" s="168">
        <f t="array" ref="F395">SUM(IF('2014-2017 Projects'!$J$5:$J$258="Planning and development",'2014-2017 Projects'!$AI$5:$AI$258,0))</f>
        <v>22800000</v>
      </c>
      <c r="G395" s="168"/>
      <c r="H395" s="168">
        <f t="array" ref="H395">SUM(IF('2014-2017 Projects'!$D$5:$D$258="Development &amp; Transport Planning",'2014-2017 Projects'!$AK$5:$AK$258,0))</f>
        <v>44500000</v>
      </c>
      <c r="I395" s="168">
        <f t="array" ref="I395">SUM(IF('2014-2017 Projects'!$D$5:$D$258="Development &amp; Transport Planning",'2014-2017 Projects'!$AM$5:$AM$258,0))</f>
        <v>44500000</v>
      </c>
      <c r="J395" s="168">
        <f t="array" ref="J395">SUM(IF('2014-2017 Projects'!$D$5:$D$258="Development &amp; Transport Planning",'2014-2017 Projects'!$AN$5:$AN$258,0))</f>
        <v>52995</v>
      </c>
      <c r="K395" s="168">
        <f t="array" ref="K395">SUM(IF('2014-2017 Projects'!$D$5:$D$258="Development &amp; Transport Planning",'2014-2017 Projects'!$AP$5:$AP$258,0))</f>
        <v>54571.4</v>
      </c>
      <c r="L395" s="168">
        <f t="array" ref="L395">SUM(IF('2014-2017 Projects'!$D$5:$D$258="Development &amp; Transport Planning",'2014-2017 Projects'!$AQ$5:$AQ$258,0))</f>
        <v>1754959.43</v>
      </c>
      <c r="M395" s="168">
        <f t="array" ref="M395">SUM(IF('2014-2017 Projects'!$D$5:$D$258="Development &amp; Transport Planning",'2014-2017 Projects'!$AS$5:$AS$258,0))</f>
        <v>2031059.23</v>
      </c>
      <c r="N395" s="168">
        <f t="array" ref="N395">SUM(IF('2014-2017 Projects'!$D$5:$D$258="Development &amp; Transport Planning",'2014-2017 Projects'!$AT$5:$AT$258,0))</f>
        <v>1633771.02</v>
      </c>
      <c r="O395" s="168">
        <f t="array" ref="O395">SUM(IF('2014-2017 Projects'!$D$5:$D$258="Development &amp; Transport Planning",'2014-2017 Projects'!$AV$5:$AV$258,0))</f>
        <v>1862498.99</v>
      </c>
      <c r="P395" s="168">
        <f t="array" ref="P395">SUM(IF('2014-2017 Projects'!$D$5:$D$258="Development &amp; Transport Planning",'2014-2017 Projects'!$AW$5:$AW$258,0))</f>
        <v>922399.1</v>
      </c>
      <c r="Q395" s="168">
        <f t="array" ref="Q395">SUM(IF('2014-2017 Projects'!$D$5:$D$258="Development &amp; Transport Planning",'2014-2017 Projects'!$AY$5:$AY$258,0))</f>
        <v>923975.5</v>
      </c>
      <c r="R395" s="168"/>
      <c r="S395" s="168"/>
      <c r="T395" s="168"/>
      <c r="U395" s="168"/>
      <c r="V395" s="168"/>
      <c r="W395" s="168"/>
      <c r="X395" s="168"/>
      <c r="Y395" s="168"/>
      <c r="Z395" s="168"/>
      <c r="AA395" s="168"/>
      <c r="AB395" s="168"/>
      <c r="AC395" s="168"/>
      <c r="AD395" s="168"/>
      <c r="AE395" s="168"/>
      <c r="AF395" s="168"/>
      <c r="AG395" s="168"/>
      <c r="AH395" s="318">
        <f t="shared" ref="AH395:AH402" si="93">J395+L395+N395+P395+R395+T395+V395+X395+Z395+AB395+AD395+AF395</f>
        <v>4364124.55</v>
      </c>
      <c r="AI395" s="318">
        <f t="shared" si="88"/>
        <v>4872105.12</v>
      </c>
      <c r="AJ395" s="168">
        <f t="array" ref="AJ395">SUM(IF('2014-2017 Projects'!$J$5:$J$258="Planning and development",'2014-2017 Projects'!$BX$5:$BX$258,0))</f>
        <v>11221667.58</v>
      </c>
      <c r="AK395" s="318">
        <f t="shared" si="89"/>
        <v>40135875.450000003</v>
      </c>
      <c r="AL395" s="318">
        <f t="shared" si="90"/>
        <v>39627894.880000003</v>
      </c>
      <c r="AM395" s="390">
        <f t="shared" si="91"/>
        <v>9.8070214606741563E-2</v>
      </c>
      <c r="AN395" s="390">
        <f t="shared" si="92"/>
        <v>0.10948550831460674</v>
      </c>
    </row>
    <row r="396" spans="1:42" x14ac:dyDescent="0.2">
      <c r="A396" s="169" t="s">
        <v>441</v>
      </c>
      <c r="B396" s="168" t="e">
        <f t="array" ref="B396">SUM(IF('[5]2013-2016 Projects'!$E$4:$E$202="Cleansing",'[5]2013-2016 Projects'!$V$4:$V$202,0))</f>
        <v>#REF!</v>
      </c>
      <c r="C396" s="168" t="e">
        <f t="array" ref="C396">SUM(IF('[5]2013-2016 Projects'!$E$4:$E$202="Cleansing",'[5]2013-2016 Projects'!$V$4:$V$202,0))</f>
        <v>#REF!</v>
      </c>
      <c r="D396" s="168">
        <f t="array" ref="D396">SUM(IF('2014-2017 Projects'!$J$5:$J$258="Waste Management",'2014-2017 Projects'!$AG$5:$AG$258,0))</f>
        <v>14240000</v>
      </c>
      <c r="E396" s="168">
        <f t="array" ref="E396">SUM(IF('2014-2017 Projects'!$J$5:$J$258="Waste Management",'2014-2017 Projects'!$AH$5:$AH$258,0))</f>
        <v>0</v>
      </c>
      <c r="F396" s="168">
        <f t="array" ref="F396">SUM(IF('2014-2017 Projects'!$J$5:$J$258="Waste Management",'2014-2017 Projects'!$AI$5:$AI$258,0))</f>
        <v>14240000</v>
      </c>
      <c r="G396" s="168">
        <f t="array" ref="G396">SUM(IF('2014-2017 Projects'!$J$5:$J$258="Waste Management",'2014-2017 Projects'!$AG$5:$AG$258,0))</f>
        <v>14240000</v>
      </c>
      <c r="H396" s="168">
        <f t="array" ref="H396">SUM(IF('2014-2017 Projects'!$D$5:$D$258="Waste Management",'2014-2017 Projects'!$AK$5:$AK$258,0))</f>
        <v>26000000</v>
      </c>
      <c r="I396" s="168">
        <f t="array" ref="I396">SUM(IF('2014-2017 Projects'!$D$5:$D$258="Waste Management",'2014-2017 Projects'!$AM$5:$AM$258,0))</f>
        <v>26000000</v>
      </c>
      <c r="J396" s="168">
        <f t="array" ref="J396">SUM(IF('2014-2017 Projects'!$D$5:$D$258="Waste Management",'2014-2017 Projects'!$AN$5:$AN$258,0))</f>
        <v>0</v>
      </c>
      <c r="K396" s="168">
        <f t="array" ref="K396">SUM(IF('2014-2017 Projects'!$D$5:$D$258="Waste Management",'2014-2017 Projects'!$AP$5:$AP$258,0))</f>
        <v>0</v>
      </c>
      <c r="L396" s="168">
        <f t="array" ref="L396">SUM(IF('2014-2017 Projects'!$D$5:$D$258="Waste Management",'2014-2017 Projects'!$AQ$5:$AQ$258,0))</f>
        <v>3976.02</v>
      </c>
      <c r="M396" s="168">
        <f t="array" ref="M396">SUM(IF('2014-2017 Projects'!$D$5:$D$258="Waste Management",'2014-2017 Projects'!$AS$5:$AS$258,0))</f>
        <v>4532.66</v>
      </c>
      <c r="N396" s="168">
        <f t="array" ref="N396">SUM(IF('2014-2017 Projects'!$D$5:$D$258="Waste Management",'2014-2017 Projects'!$AT$5:$AT$258,0))</f>
        <v>0</v>
      </c>
      <c r="O396" s="168">
        <f t="array" ref="O396">SUM(IF('2014-2017 Projects'!$D$5:$D$258="Waste Management",'2014-2017 Projects'!$AV$5:$AV$258,0))</f>
        <v>0</v>
      </c>
      <c r="P396" s="168">
        <f t="array" ref="P396">SUM(IF('2014-2017 Projects'!$D$5:$D$258="Waste Management",'2014-2017 Projects'!$AW$5:$AW$258,0))</f>
        <v>0</v>
      </c>
      <c r="Q396" s="168">
        <f t="array" ref="Q396">SUM(IF('2014-2017 Projects'!$D$5:$D$258="Waste Management",'2014-2017 Projects'!$AY$5:$AY$258,0))</f>
        <v>0</v>
      </c>
      <c r="R396" s="168"/>
      <c r="S396" s="168"/>
      <c r="T396" s="168"/>
      <c r="U396" s="168"/>
      <c r="V396" s="168"/>
      <c r="W396" s="168"/>
      <c r="X396" s="168"/>
      <c r="Y396" s="168"/>
      <c r="Z396" s="168"/>
      <c r="AA396" s="168"/>
      <c r="AB396" s="168"/>
      <c r="AC396" s="168"/>
      <c r="AD396" s="168"/>
      <c r="AE396" s="168"/>
      <c r="AF396" s="168"/>
      <c r="AG396" s="168"/>
      <c r="AH396" s="318">
        <f t="shared" si="93"/>
        <v>3976.02</v>
      </c>
      <c r="AI396" s="318">
        <f t="shared" si="88"/>
        <v>4532.66</v>
      </c>
      <c r="AJ396" s="168">
        <f t="array" ref="AJ396">SUM(IF('2014-2017 Projects'!$J$5:$J$258="Waste Management",'2014-2017 Projects'!$BX$5:$BX$258,0))</f>
        <v>18996936.619999997</v>
      </c>
      <c r="AK396" s="318">
        <f t="shared" si="89"/>
        <v>25996023.98</v>
      </c>
      <c r="AL396" s="318">
        <f t="shared" si="90"/>
        <v>25995467.34</v>
      </c>
      <c r="AM396" s="390">
        <f t="shared" si="91"/>
        <v>1.5292384615384614E-4</v>
      </c>
      <c r="AN396" s="390">
        <f t="shared" si="92"/>
        <v>1.7433307692307692E-4</v>
      </c>
    </row>
    <row r="397" spans="1:42" x14ac:dyDescent="0.2">
      <c r="A397" s="169" t="s">
        <v>75</v>
      </c>
      <c r="B397" s="168" t="e">
        <f t="array" ref="B397">SUM(IF('[5]2013-2016 Projects'!$E$4:$E$202="Amenities",'[5]2013-2016 Projects'!$V$4:$V$202,0))</f>
        <v>#REF!</v>
      </c>
      <c r="C397" s="168" t="e">
        <f t="array" ref="C397">SUM(IF('[5]2013-2016 Projects'!$E$4:$E$202="Amenities",'[5]2013-2016 Projects'!$V$4:$V$202,0))</f>
        <v>#REF!</v>
      </c>
      <c r="D397" s="168">
        <f t="array" ref="D397">SUM(IF('2014-2017 Projects'!$J$5:$J$258="Amenities",'2014-2017 Projects'!$AG$5:$AG$258,0))</f>
        <v>22800000</v>
      </c>
      <c r="E397" s="168">
        <f t="array" ref="E397">SUM(IF('2014-2017 Projects'!$J$5:$J$258="Amenities",'2014-2017 Projects'!$AH$5:$AH$258,0))</f>
        <v>-15884413</v>
      </c>
      <c r="F397" s="168">
        <f t="array" ref="F397">SUM(IF('2014-2017 Projects'!$J$5:$J$258="Amenities",'2014-2017 Projects'!$AI$5:$AI$258,0))</f>
        <v>6915587</v>
      </c>
      <c r="G397" s="168">
        <f t="array" ref="G397">SUM(IF('2014-2017 Projects'!$J$5:$J$258="Waste Management",'2014-2017 Projects'!$AG$5:$AG$258,0))</f>
        <v>14240000</v>
      </c>
      <c r="H397" s="168">
        <f t="array" ref="H397">SUM(IF('2014-2017 Projects'!$D$5:$D$258="Amenities",'2014-2017 Projects'!$AK$5:$AK$258,0))</f>
        <v>32250000</v>
      </c>
      <c r="I397" s="168">
        <f t="array" ref="I397">SUM(IF('2014-2017 Projects'!$D$5:$D$258="Amenities",'2014-2017 Projects'!$AM$5:$AM$258,0))</f>
        <v>32250000</v>
      </c>
      <c r="J397" s="168">
        <f t="array" ref="J397">SUM(IF('2014-2017 Projects'!$D$5:$D$258="Amenities",'2014-2017 Projects'!$AN$5:$AN$258,0))</f>
        <v>0</v>
      </c>
      <c r="K397" s="168">
        <f t="array" ref="K397">SUM(IF('2014-2017 Projects'!$D$5:$D$258="Amenities",'2014-2017 Projects'!$AP$5:$AP$258,0))</f>
        <v>0</v>
      </c>
      <c r="L397" s="168">
        <f t="array" ref="L397">SUM(IF('2014-2017 Projects'!$D$5:$D$258="Amenities",'2014-2017 Projects'!$AQ$5:$AQ$258,0))</f>
        <v>237492.13</v>
      </c>
      <c r="M397" s="168">
        <f t="array" ref="M397">SUM(IF('2014-2017 Projects'!$D$5:$D$258="Amenities",'2014-2017 Projects'!$AS$5:$AS$258,0))</f>
        <v>242755.03</v>
      </c>
      <c r="N397" s="168">
        <f t="array" ref="N397">SUM(IF('2014-2017 Projects'!$D$5:$D$258="Amenities",'2014-2017 Projects'!$AT$5:$AT$258,0))</f>
        <v>869626.97</v>
      </c>
      <c r="O397" s="168">
        <f t="array" ref="O397">SUM(IF('2014-2017 Projects'!$D$5:$D$258="Amenities",'2014-2017 Projects'!$AV$5:$AV$258,0))</f>
        <v>886920.96</v>
      </c>
      <c r="P397" s="168">
        <f t="array" ref="P397">SUM(IF('2014-2017 Projects'!$D$5:$D$258="Amenities",'2014-2017 Projects'!$AW$5:$AW$258,0))</f>
        <v>888939.80999999994</v>
      </c>
      <c r="Q397" s="168">
        <f t="array" ref="Q397">SUM(IF('2014-2017 Projects'!$D$5:$D$258="Amenities",'2014-2017 Projects'!$AY$5:$AY$258,0))</f>
        <v>1025863.42</v>
      </c>
      <c r="R397" s="168"/>
      <c r="S397" s="168"/>
      <c r="T397" s="168"/>
      <c r="U397" s="168"/>
      <c r="V397" s="168"/>
      <c r="W397" s="168"/>
      <c r="X397" s="168"/>
      <c r="Y397" s="168"/>
      <c r="Z397" s="168"/>
      <c r="AA397" s="168"/>
      <c r="AB397" s="168"/>
      <c r="AC397" s="168"/>
      <c r="AD397" s="168"/>
      <c r="AE397" s="168"/>
      <c r="AF397" s="168"/>
      <c r="AG397" s="168"/>
      <c r="AH397" s="318">
        <f t="shared" si="93"/>
        <v>1996058.9100000001</v>
      </c>
      <c r="AI397" s="318">
        <f t="shared" si="88"/>
        <v>2155539.41</v>
      </c>
      <c r="AJ397" s="168">
        <f t="array" ref="AJ397">SUM(IF('2014-2017 Projects'!$J$5:$J$258="Amenities",'2014-2017 Projects'!$BX$5:$BX$258,0))</f>
        <v>5193206.5199999996</v>
      </c>
      <c r="AK397" s="318">
        <f t="shared" si="89"/>
        <v>30253941.09</v>
      </c>
      <c r="AL397" s="318">
        <f t="shared" si="90"/>
        <v>30094460.59</v>
      </c>
      <c r="AM397" s="390">
        <f t="shared" si="91"/>
        <v>6.1893299534883726E-2</v>
      </c>
      <c r="AN397" s="390">
        <f t="shared" si="92"/>
        <v>6.6838431317829461E-2</v>
      </c>
    </row>
    <row r="398" spans="1:42" x14ac:dyDescent="0.2">
      <c r="A398" s="169" t="s">
        <v>74</v>
      </c>
      <c r="B398" s="168" t="e">
        <f t="array" ref="B398">SUM(IF('[5]2013-2016 Projects'!$E$4:$E$202="Environmental Services",'[5]2013-2016 Projects'!$V$4:$V$202,0))</f>
        <v>#REF!</v>
      </c>
      <c r="C398" s="168" t="e">
        <f t="array" ref="C398">SUM(IF('[5]2013-2016 Projects'!$E$4:$E$202="Environmental Services",'[5]2013-2016 Projects'!$V$4:$V$202,0))</f>
        <v>#REF!</v>
      </c>
      <c r="D398" s="168">
        <f t="array" ref="D398">SUM(IF('2014-2017 Projects'!$J$5:$J$258="Environmental Services",'2014-2017 Projects'!$AG$5:$AG$258,0))</f>
        <v>11040943</v>
      </c>
      <c r="E398" s="168">
        <f t="array" ref="E398">SUM(IF('2014-2017 Projects'!$J$5:$J$258="Environmental Services",'2014-2017 Projects'!$AH$5:$AH$258,0))</f>
        <v>7500000</v>
      </c>
      <c r="F398" s="168">
        <f t="array" ref="F398">SUM(IF('2014-2017 Projects'!$J$5:$J$258="Environmental Services",'2014-2017 Projects'!$AI$5:$AI$258,0))</f>
        <v>18540943</v>
      </c>
      <c r="G398" s="168">
        <f t="array" ref="G398">SUM(IF('2014-2017 Projects'!$J$5:$J$258="Waste Management",'2014-2017 Projects'!$AG$5:$AG$258,0))</f>
        <v>14240000</v>
      </c>
      <c r="H398" s="168">
        <f t="array" ref="H398">SUM(IF('2014-2017 Projects'!$D$5:$D$258="Environmental Services",'2014-2017 Projects'!$AK$5:$AK$258,0))</f>
        <v>12000000</v>
      </c>
      <c r="I398" s="168">
        <f t="array" ref="I398">SUM(IF('2014-2017 Projects'!$D$5:$D$258="Environmental Services",'2014-2017 Projects'!$AM$5:$AM$258,0))</f>
        <v>12000000</v>
      </c>
      <c r="J398" s="168">
        <f t="array" ref="J398">SUM(IF('2014-2017 Projects'!$D$5:$D$258="Environmental Services",'2014-2017 Projects'!$AN$5:$AN$258,0))</f>
        <v>0</v>
      </c>
      <c r="K398" s="168">
        <f t="array" ref="K398">SUM(IF('2014-2017 Projects'!$D$5:$D$258="Environmental Services",'2014-2017 Projects'!$AP$5:$AP$258,0))</f>
        <v>0</v>
      </c>
      <c r="L398" s="168">
        <f t="array" ref="L398">SUM(IF('2014-2017 Projects'!$D$5:$D$258="Environmental Services",'2014-2017 Projects'!$AQ$5:$AQ$258,0))</f>
        <v>0</v>
      </c>
      <c r="M398" s="168">
        <f t="array" ref="M398">SUM(IF('2014-2017 Projects'!$D$5:$D$258="Environmental Services",'2014-2017 Projects'!$AS$5:$AS$258,0))</f>
        <v>0</v>
      </c>
      <c r="N398" s="168">
        <f t="array" ref="N398">SUM(IF('2014-2017 Projects'!$D$5:$D$258="Environmental Services",'2014-2017 Projects'!$AT$5:$AT$258,0))</f>
        <v>0</v>
      </c>
      <c r="O398" s="168">
        <f t="array" ref="O398">SUM(IF('2014-2017 Projects'!$D$5:$D$258="Environmental Services",'2014-2017 Projects'!$AV$5:$AV$258,0))</f>
        <v>0</v>
      </c>
      <c r="P398" s="168">
        <f t="array" ref="P398">SUM(IF('2014-2017 Projects'!$D$5:$D$258="Environmental Services",'2014-2017 Projects'!$AW$5:$AW$258,0))</f>
        <v>4196.91</v>
      </c>
      <c r="Q398" s="168">
        <f t="array" ref="Q398">SUM(IF('2014-2017 Projects'!$D$5:$D$258="Environmental Services",'2014-2017 Projects'!$AY$5:$AY$258,0))</f>
        <v>4196.91</v>
      </c>
      <c r="R398" s="168"/>
      <c r="S398" s="168"/>
      <c r="T398" s="168"/>
      <c r="U398" s="168"/>
      <c r="V398" s="168"/>
      <c r="W398" s="168"/>
      <c r="X398" s="168"/>
      <c r="Y398" s="168"/>
      <c r="Z398" s="168"/>
      <c r="AA398" s="168"/>
      <c r="AB398" s="168"/>
      <c r="AC398" s="168"/>
      <c r="AD398" s="168"/>
      <c r="AE398" s="168"/>
      <c r="AF398" s="168"/>
      <c r="AG398" s="168"/>
      <c r="AH398" s="318">
        <f t="shared" si="93"/>
        <v>4196.91</v>
      </c>
      <c r="AI398" s="318">
        <f t="shared" si="88"/>
        <v>4196.91</v>
      </c>
      <c r="AJ398" s="168">
        <f t="array" ref="AJ398">SUM(IF('2014-2017 Projects'!$J$5:$J$258="Environmental Services",'2014-2017 Projects'!$BX$5:$BX$258,0))</f>
        <v>5415228.2400000002</v>
      </c>
      <c r="AK398" s="318">
        <f t="shared" si="89"/>
        <v>11995803.09</v>
      </c>
      <c r="AL398" s="318">
        <f t="shared" si="90"/>
        <v>11995803.09</v>
      </c>
      <c r="AM398" s="390">
        <f t="shared" si="91"/>
        <v>3.4974250000000001E-4</v>
      </c>
      <c r="AN398" s="390">
        <f t="shared" si="92"/>
        <v>3.4974250000000001E-4</v>
      </c>
    </row>
    <row r="399" spans="1:42" x14ac:dyDescent="0.2">
      <c r="A399" s="169" t="s">
        <v>76</v>
      </c>
      <c r="B399" s="168" t="e">
        <f t="array" ref="B399">SUM(IF('[5]2013-2016 Projects'!$E$4:$E$202="Health",'[5]2013-2016 Projects'!$V$4:$V$202,0))</f>
        <v>#REF!</v>
      </c>
      <c r="C399" s="168" t="e">
        <f t="array" ref="C399">SUM(IF('[5]2013-2016 Projects'!$E$4:$E$202="Health",'[5]2013-2016 Projects'!$V$4:$V$202,0))</f>
        <v>#REF!</v>
      </c>
      <c r="D399" s="168">
        <f t="array" ref="D399">SUM(IF('2014-2017 Projects'!$J$5:$J$258="Health Services",'2014-2017 Projects'!$AG$5:$AG$258,0))</f>
        <v>0</v>
      </c>
      <c r="E399" s="168">
        <f t="array" ref="E399">SUM(IF('2014-2017 Projects'!$J$5:$J$258="Health Services",'2014-2017 Projects'!$AH$5:$AH$258,0))</f>
        <v>0</v>
      </c>
      <c r="F399" s="168">
        <f t="array" ref="F399">SUM(IF('2014-2017 Projects'!$J$5:$J$258="Health Services",'2014-2017 Projects'!$AI$5:$AI$258,0))</f>
        <v>0</v>
      </c>
      <c r="G399" s="168">
        <f t="array" ref="G399">SUM(IF('2014-2017 Projects'!$J$5:$J$258="Waste Management",'2014-2017 Projects'!$AG$5:$AG$258,0))</f>
        <v>14240000</v>
      </c>
      <c r="H399" s="168">
        <f t="array" ref="H399">SUM(IF('2014-2017 Projects'!$D$5:$D$258="Health Services",'2014-2017 Projects'!$AK$5:$AK$258,0))</f>
        <v>0</v>
      </c>
      <c r="I399" s="168">
        <f t="array" ref="I399">SUM(IF('2014-2017 Projects'!$D$5:$D$258="Health Services",'2014-2017 Projects'!$AM$5:$AM$258,0))</f>
        <v>0</v>
      </c>
      <c r="J399" s="168">
        <f t="array" ref="J399">SUM(IF('2014-2017 Projects'!$D$5:$D$258="Health Services",'2014-2017 Projects'!$AN$5:$AN$258,0))</f>
        <v>0</v>
      </c>
      <c r="K399" s="168">
        <f t="array" ref="K399">SUM(IF('2014-2017 Projects'!$D$5:$D$258="Health Services",'2014-2017 Projects'!$AP$5:$AP$258,0))</f>
        <v>0</v>
      </c>
      <c r="L399" s="168">
        <f t="array" ref="L399">SUM(IF('2014-2017 Projects'!$D$5:$D$258="Health Services",'2014-2017 Projects'!$AQ$5:$AQ$258,0))</f>
        <v>0</v>
      </c>
      <c r="M399" s="168">
        <f t="array" ref="M399">SUM(IF('2014-2017 Projects'!$D$5:$D$258="Health Services",'2014-2017 Projects'!$AS$5:$AS$258,0))</f>
        <v>0</v>
      </c>
      <c r="N399" s="168">
        <f t="array" ref="N399">SUM(IF('2014-2017 Projects'!$D$5:$D$258="Health Services",'2014-2017 Projects'!$AT$5:$AT$258,0))</f>
        <v>0</v>
      </c>
      <c r="O399" s="168">
        <f t="array" ref="O399">SUM(IF('2014-2017 Projects'!$D$5:$D$258="Health Services",'2014-2017 Projects'!$AV$5:$AV$258,0))</f>
        <v>0</v>
      </c>
      <c r="P399" s="168">
        <f t="array" ref="P399">SUM(IF('2014-2017 Projects'!$D$5:$D$258="Health Services",'2014-2017 Projects'!$AW$5:$AW$258,0))</f>
        <v>0</v>
      </c>
      <c r="Q399" s="168">
        <f t="array" ref="Q399">SUM(IF('2014-2017 Projects'!$D$5:$D$258="Health Services",'2014-2017 Projects'!$AY$5:$AY$258,0))</f>
        <v>0</v>
      </c>
      <c r="R399" s="168"/>
      <c r="S399" s="168"/>
      <c r="T399" s="168"/>
      <c r="U399" s="168"/>
      <c r="V399" s="168"/>
      <c r="W399" s="168"/>
      <c r="X399" s="168"/>
      <c r="Y399" s="168"/>
      <c r="Z399" s="168"/>
      <c r="AA399" s="168"/>
      <c r="AB399" s="168"/>
      <c r="AC399" s="168"/>
      <c r="AD399" s="168"/>
      <c r="AE399" s="168"/>
      <c r="AF399" s="168"/>
      <c r="AG399" s="168"/>
      <c r="AH399" s="318">
        <f t="shared" si="93"/>
        <v>0</v>
      </c>
      <c r="AI399" s="318">
        <f t="shared" si="88"/>
        <v>0</v>
      </c>
      <c r="AJ399" s="168">
        <f t="array" ref="AJ399">SUM(IF('2014-2017 Projects'!$J$5:$J$258="Health Services",'2014-2017 Projects'!$BX$5:$BX$258,0))</f>
        <v>0</v>
      </c>
      <c r="AK399" s="318">
        <f t="shared" si="89"/>
        <v>0</v>
      </c>
      <c r="AL399" s="318">
        <f t="shared" si="90"/>
        <v>0</v>
      </c>
      <c r="AM399" s="390" t="e">
        <f t="shared" si="91"/>
        <v>#DIV/0!</v>
      </c>
      <c r="AN399" s="390" t="e">
        <f t="shared" si="92"/>
        <v>#DIV/0!</v>
      </c>
    </row>
    <row r="400" spans="1:42" x14ac:dyDescent="0.2">
      <c r="A400" s="169" t="s">
        <v>77</v>
      </c>
      <c r="B400" s="168" t="e">
        <f t="array" ref="B400">SUM(IF('[5]2013-2016 Projects'!$E$4:$E$202="Public Safety",'[5]2013-2016 Projects'!$V$4:$V$202,0))</f>
        <v>#REF!</v>
      </c>
      <c r="C400" s="168" t="e">
        <f t="array" ref="C400">SUM(IF('[5]2013-2016 Projects'!$E$4:$E$202="Public Safety",'[5]2013-2016 Projects'!$V$4:$V$202,0))</f>
        <v>#REF!</v>
      </c>
      <c r="D400" s="168">
        <f t="array" ref="D400">SUM(IF('2014-2017 Projects'!$J$5:$J$258="Public Safety",'2014-2017 Projects'!$AG$5:$AG$258,0))</f>
        <v>2250000</v>
      </c>
      <c r="E400" s="168">
        <f t="array" ref="E400">SUM(IF('2014-2017 Projects'!$J$5:$J$258="Public Safety",'2014-2017 Projects'!$AH$5:$AH$258,0))</f>
        <v>-2000000</v>
      </c>
      <c r="F400" s="168">
        <f t="array" ref="F400">SUM(IF('2014-2017 Projects'!$J$5:$J$258="Public Safety",'2014-2017 Projects'!$AI$5:$AI$258,0))</f>
        <v>250000</v>
      </c>
      <c r="G400" s="168">
        <f t="array" ref="G400">SUM(IF('2014-2017 Projects'!$J$5:$J$258="Waste Management",'2014-2017 Projects'!$AG$5:$AG$258,0))</f>
        <v>14240000</v>
      </c>
      <c r="H400" s="168">
        <f t="array" ref="H400">SUM(IF('2014-2017 Projects'!$D$5:$D$258="Public Safety",'2014-2017 Projects'!$AK$5:$AK$258,0))</f>
        <v>3000000</v>
      </c>
      <c r="I400" s="168">
        <f t="array" ref="I400">SUM(IF('2014-2017 Projects'!$D$5:$D$258="Public Safety",'2014-2017 Projects'!$AM$5:$AM$258,0))</f>
        <v>3000000</v>
      </c>
      <c r="J400" s="168">
        <f t="array" ref="J400">SUM(IF('2014-2017 Projects'!$D$5:$D$258="Public Safety",'2014-2017 Projects'!$AN$5:$AN$258,0))</f>
        <v>0</v>
      </c>
      <c r="K400" s="168">
        <f t="array" ref="K400">SUM(IF('2014-2017 Projects'!$D$5:$D$258="Public Safety",'2014-2017 Projects'!$AP$5:$AP$258,0))</f>
        <v>0</v>
      </c>
      <c r="L400" s="168">
        <f t="array" ref="L400">SUM(IF('2014-2017 Projects'!$D$5:$D$258="Public Safety",'2014-2017 Projects'!$AQ$5:$AQ$258,0))</f>
        <v>0</v>
      </c>
      <c r="M400" s="168">
        <f t="array" ref="M400">SUM(IF('2014-2017 Projects'!$D$5:$D$258="Public Safety",'2014-2017 Projects'!$AS$5:$AS$258,0))</f>
        <v>0</v>
      </c>
      <c r="N400" s="168">
        <f t="array" ref="N400">SUM(IF('2014-2017 Projects'!$D$5:$D$258="Public Safety",'2014-2017 Projects'!$AT$5:$AT$258,0))</f>
        <v>0</v>
      </c>
      <c r="O400" s="168">
        <f t="array" ref="O400">SUM(IF('2014-2017 Projects'!$D$5:$D$258="Public Safety",'2014-2017 Projects'!$AV$5:$AV$258,0))</f>
        <v>0</v>
      </c>
      <c r="P400" s="168">
        <f t="array" ref="P400">SUM(IF('2014-2017 Projects'!$D$5:$D$258="Public Safety",'2014-2017 Projects'!$AW$5:$AW$258,0))</f>
        <v>0</v>
      </c>
      <c r="Q400" s="168">
        <f t="array" ref="Q400">SUM(IF('2014-2017 Projects'!$D$5:$D$258="Public Safety",'2014-2017 Projects'!$AY$5:$AY$258,0))</f>
        <v>0</v>
      </c>
      <c r="R400" s="168"/>
      <c r="S400" s="168"/>
      <c r="T400" s="168"/>
      <c r="U400" s="168"/>
      <c r="V400" s="168"/>
      <c r="W400" s="168"/>
      <c r="X400" s="168"/>
      <c r="Y400" s="168"/>
      <c r="Z400" s="168"/>
      <c r="AA400" s="168"/>
      <c r="AB400" s="168"/>
      <c r="AC400" s="168"/>
      <c r="AD400" s="168"/>
      <c r="AE400" s="168"/>
      <c r="AF400" s="168"/>
      <c r="AG400" s="168"/>
      <c r="AH400" s="318">
        <f t="shared" si="93"/>
        <v>0</v>
      </c>
      <c r="AI400" s="318">
        <f t="shared" si="88"/>
        <v>0</v>
      </c>
      <c r="AJ400" s="168">
        <f t="array" ref="AJ400">SUM(IF('2014-2017 Projects'!$J$5:$J$258="Public Safety",'2014-2017 Projects'!$BX$5:$BX$258,0))</f>
        <v>2626870.7199999997</v>
      </c>
      <c r="AK400" s="318">
        <f t="shared" si="89"/>
        <v>3000000</v>
      </c>
      <c r="AL400" s="318">
        <f t="shared" si="90"/>
        <v>3000000</v>
      </c>
      <c r="AM400" s="390">
        <f t="shared" si="91"/>
        <v>0</v>
      </c>
      <c r="AN400" s="390">
        <f t="shared" si="92"/>
        <v>0</v>
      </c>
    </row>
    <row r="401" spans="1:40" x14ac:dyDescent="0.2">
      <c r="A401" s="233" t="s">
        <v>72</v>
      </c>
      <c r="B401" s="168" t="e">
        <f t="array" ref="B401">SUM(IF('[5]2013-2016 Projects'!$E$4:$E$202="Support Services",'[5]2013-2016 Projects'!$V$4:$V$202,0))</f>
        <v>#REF!</v>
      </c>
      <c r="C401" s="168" t="e">
        <f t="array" ref="C401">SUM(IF('[5]2013-2016 Projects'!$E$4:$E$202="Support Services",'[5]2013-2016 Projects'!$V$4:$V$202,0))</f>
        <v>#REF!</v>
      </c>
      <c r="D401" s="168">
        <f t="array" ref="D401">SUM(IF('2014-2017 Projects'!$J$5:$J$258="Support Services",'2014-2017 Projects'!$AG$5:$AG$258,0))</f>
        <v>19350000</v>
      </c>
      <c r="E401" s="168">
        <f t="array" ref="E401">SUM(IF('2014-2017 Projects'!$J$5:$J$258="Support Services",'2014-2017 Projects'!$AH$5:$AH$258,0))</f>
        <v>-10000000</v>
      </c>
      <c r="F401" s="168">
        <f t="array" ref="F401">SUM(IF('2014-2017 Projects'!$J$5:$J$258="Support Services",'2014-2017 Projects'!$AI$5:$AI$258,0))</f>
        <v>9350000</v>
      </c>
      <c r="G401" s="168">
        <f t="array" ref="G401">SUM(IF('2014-2017 Projects'!$J$5:$J$258="Waste Management",'2014-2017 Projects'!$AG$5:$AG$258,0))</f>
        <v>14240000</v>
      </c>
      <c r="H401" s="168">
        <f t="array" ref="H401">SUM(IF('2014-2017 Projects'!$D$5:$D$258="Support Services",'2014-2017 Projects'!$AK$5:$AK$258,0))</f>
        <v>1500000</v>
      </c>
      <c r="I401" s="168">
        <f t="array" ref="I401">SUM(IF('2014-2017 Projects'!$D$5:$D$258="Support Services",'2014-2017 Projects'!$AM$5:$AM$258,0))</f>
        <v>1500000</v>
      </c>
      <c r="J401" s="168">
        <f t="array" ref="J401">SUM(IF('2014-2017 Projects'!$D$5:$D$258="Support Services",'2014-2017 Projects'!$AN$5:$AN$258,0))</f>
        <v>0</v>
      </c>
      <c r="K401" s="168">
        <f t="array" ref="K401">SUM(IF('2014-2017 Projects'!$D$5:$D$258="Support Services",'2014-2017 Projects'!$AP$5:$AP$258,0))</f>
        <v>0</v>
      </c>
      <c r="L401" s="168">
        <f t="array" ref="L401">SUM(IF('2014-2017 Projects'!$D$5:$D$258="Support Services",'2014-2017 Projects'!$AQ$5:$AQ$258,0))</f>
        <v>170805</v>
      </c>
      <c r="M401" s="168">
        <f t="array" ref="M401">SUM(IF('2014-2017 Projects'!$D$5:$D$258="Support Services",'2014-2017 Projects'!$AS$5:$AS$258,0))</f>
        <v>194717.7</v>
      </c>
      <c r="N401" s="168">
        <f t="array" ref="N401">SUM(IF('2014-2017 Projects'!$D$5:$D$258="Support Services",'2014-2017 Projects'!$AT$5:$AT$258,0))</f>
        <v>0</v>
      </c>
      <c r="O401" s="168">
        <f t="array" ref="O401">SUM(IF('2014-2017 Projects'!$D$5:$D$258="Support Services",'2014-2017 Projects'!$AV$5:$AV$258,0))</f>
        <v>0</v>
      </c>
      <c r="P401" s="168">
        <f t="array" ref="P401">SUM(IF('2014-2017 Projects'!$D$5:$D$258="Support Services",'2014-2017 Projects'!$AW$5:$AW$258,0))</f>
        <v>129259.3</v>
      </c>
      <c r="Q401" s="168">
        <f t="array" ref="Q401">SUM(IF('2014-2017 Projects'!$D$5:$D$258="Support Services",'2014-2017 Projects'!$AY$5:$AY$258,0))</f>
        <v>129259.3</v>
      </c>
      <c r="R401" s="168"/>
      <c r="S401" s="168"/>
      <c r="T401" s="168"/>
      <c r="U401" s="168"/>
      <c r="V401" s="168"/>
      <c r="W401" s="168"/>
      <c r="X401" s="168"/>
      <c r="Y401" s="168"/>
      <c r="Z401" s="168"/>
      <c r="AA401" s="168"/>
      <c r="AB401" s="168"/>
      <c r="AC401" s="168"/>
      <c r="AD401" s="168"/>
      <c r="AE401" s="168"/>
      <c r="AF401" s="168"/>
      <c r="AG401" s="168"/>
      <c r="AH401" s="318">
        <f t="shared" si="93"/>
        <v>300064.3</v>
      </c>
      <c r="AI401" s="318">
        <f t="shared" si="88"/>
        <v>323977</v>
      </c>
      <c r="AJ401" s="168">
        <f t="array" ref="AJ401">SUM(IF('2014-2017 Projects'!$J$5:$J$258="Support Services",'2014-2017 Projects'!$BX$5:$BX$258,0))</f>
        <v>1240965.5899999999</v>
      </c>
      <c r="AK401" s="318">
        <f t="shared" si="89"/>
        <v>1199935.7</v>
      </c>
      <c r="AL401" s="318">
        <f t="shared" si="90"/>
        <v>1176023</v>
      </c>
      <c r="AM401" s="390">
        <f t="shared" si="91"/>
        <v>0.20004286666666665</v>
      </c>
      <c r="AN401" s="390">
        <f t="shared" si="92"/>
        <v>0.21598466666666666</v>
      </c>
    </row>
    <row r="402" spans="1:40" x14ac:dyDescent="0.2">
      <c r="A402" s="233" t="s">
        <v>400</v>
      </c>
      <c r="B402" s="168" t="e">
        <f t="array" ref="B402">SUM(IF('[5]2013-2016 Projects'!$E$4:$E$202="Other",'[5]2013-2016 Projects'!$V$4:$V$202,0))</f>
        <v>#REF!</v>
      </c>
      <c r="C402" s="168" t="e">
        <f t="array" ref="C402">SUM(IF('[5]2013-2016 Projects'!$E$4:$E$202="Other",'[5]2013-2016 Projects'!$V$4:$V$202,0))</f>
        <v>#REF!</v>
      </c>
      <c r="D402" s="168">
        <f t="array" ref="D402">SUM(IF('2014-2017 Projects'!$J$5:$J$258="Other - BCM Fleet",'2014-2017 Projects'!$AG$5:$AG$258,0))</f>
        <v>33000000</v>
      </c>
      <c r="E402" s="168">
        <f t="array" ref="E402">SUM(IF('2014-2017 Projects'!$J$5:$J$258="Other - BCM Fleet",'2014-2017 Projects'!$AH$5:$AH$258,0))</f>
        <v>3500000</v>
      </c>
      <c r="F402" s="168">
        <f t="array" ref="F402">SUM(IF('2014-2017 Projects'!$J$5:$J$258="Other - BCM Fleet",'2014-2017 Projects'!$AI$5:$AI$258,0))</f>
        <v>36500000</v>
      </c>
      <c r="G402" s="168">
        <f t="array" ref="G402">SUM(IF('2014-2017 Projects'!$J$5:$J$258="Other - BCM Fleet",'2014-2017 Projects'!$AG$5:$AG$258,0))</f>
        <v>33000000</v>
      </c>
      <c r="H402" s="168">
        <f t="array" ref="H402">SUM(IF('2014-2017 Projects'!$D$5:$D$258="Other - BCM Fleet",'2014-2017 Projects'!$AK$5:$AK$258,0))</f>
        <v>0</v>
      </c>
      <c r="I402" s="168">
        <f t="array" ref="I402">SUM(IF('2014-2017 Projects'!$D$5:$D$258="Other - BCM Fleet",'2014-2017 Projects'!$AM$5:$AM$258,0))</f>
        <v>0</v>
      </c>
      <c r="J402" s="168">
        <f t="array" ref="J402">SUM(IF('2014-2017 Projects'!$D$5:$D$258="Other - BCM Fleet",'2014-2017 Projects'!$AN$5:$AN$258,0))</f>
        <v>0</v>
      </c>
      <c r="K402" s="168">
        <f t="array" ref="K402">SUM(IF('2014-2017 Projects'!$D$5:$D$258="Other - BCM Fleet",'2014-2017 Projects'!$AP$5:$AP$258,0))</f>
        <v>0</v>
      </c>
      <c r="L402" s="168">
        <f t="array" ref="L402">SUM(IF('2014-2017 Projects'!$D$5:$D$258="Other - BCM Fleet",'2014-2017 Projects'!$AQ$5:$AQ$258,0))</f>
        <v>0</v>
      </c>
      <c r="M402" s="168">
        <f t="array" ref="M402">SUM(IF('2014-2017 Projects'!$D$5:$D$258="Other - BCM Fleet",'2014-2017 Projects'!$AS$5:$AS$258,0))</f>
        <v>0</v>
      </c>
      <c r="N402" s="168">
        <f t="array" ref="N402">SUM(IF('2014-2017 Projects'!$D$5:$D$258="Other - BCM Fleet",'2014-2017 Projects'!$AT$5:$AT$258,0))</f>
        <v>0</v>
      </c>
      <c r="O402" s="168">
        <f t="array" ref="O402">SUM(IF('2014-2017 Projects'!$D$5:$D$258="Other - BCM Fleet",'2014-2017 Projects'!$AV$5:$AV$258,0))</f>
        <v>0</v>
      </c>
      <c r="P402" s="168">
        <f t="array" ref="P402">SUM(IF('2014-2017 Projects'!$D$5:$D$258="Other - BCM Fleet",'2014-2017 Projects'!$AW$5:$AW$258,0))</f>
        <v>0</v>
      </c>
      <c r="Q402" s="168">
        <f t="array" ref="Q402">SUM(IF('2014-2017 Projects'!$D$5:$D$258="Other - BCM Fleet",'2014-2017 Projects'!$AY$5:$AY$258,0))</f>
        <v>0</v>
      </c>
      <c r="R402" s="168"/>
      <c r="S402" s="168"/>
      <c r="T402" s="168"/>
      <c r="U402" s="168"/>
      <c r="V402" s="168"/>
      <c r="W402" s="168"/>
      <c r="X402" s="168"/>
      <c r="Y402" s="168"/>
      <c r="Z402" s="168"/>
      <c r="AA402" s="168"/>
      <c r="AB402" s="168"/>
      <c r="AC402" s="168"/>
      <c r="AD402" s="168"/>
      <c r="AE402" s="168"/>
      <c r="AF402" s="168"/>
      <c r="AG402" s="168"/>
      <c r="AH402" s="318">
        <f t="shared" si="93"/>
        <v>0</v>
      </c>
      <c r="AI402" s="318">
        <f t="shared" si="88"/>
        <v>0</v>
      </c>
      <c r="AJ402" s="168">
        <f t="array" ref="AJ402">SUM(IF('2014-2017 Projects'!$J$5:$J$258="Other - BCM Fleet",'2014-2017 Projects'!$BX$5:$BX$258,0))</f>
        <v>0</v>
      </c>
      <c r="AK402" s="318">
        <f t="shared" si="89"/>
        <v>0</v>
      </c>
      <c r="AL402" s="318">
        <f t="shared" si="90"/>
        <v>0</v>
      </c>
      <c r="AM402" s="390" t="e">
        <f t="shared" si="91"/>
        <v>#DIV/0!</v>
      </c>
      <c r="AN402" s="390" t="e">
        <f t="shared" si="92"/>
        <v>#DIV/0!</v>
      </c>
    </row>
    <row r="403" spans="1:40" ht="13.5" thickBot="1" x14ac:dyDescent="0.25">
      <c r="A403" s="169"/>
      <c r="B403" s="234" t="e">
        <f>SUM(B390:B402)</f>
        <v>#REF!</v>
      </c>
      <c r="C403" s="234" t="e">
        <f>SUM(C390:C402)</f>
        <v>#REF!</v>
      </c>
      <c r="D403" s="234">
        <f>SUM(D390:D402)</f>
        <v>296123214.88</v>
      </c>
      <c r="E403" s="234">
        <f>SUM(E390:E402)</f>
        <v>12199892</v>
      </c>
      <c r="F403" s="234">
        <f>SUM(F390:F402)</f>
        <v>308323106.88</v>
      </c>
      <c r="G403" s="234"/>
      <c r="H403" s="234">
        <f>SUM(H390:H402)</f>
        <v>639824500</v>
      </c>
      <c r="I403" s="234">
        <f t="shared" ref="I403:AI403" si="94">SUM(I390:I402)</f>
        <v>639824500</v>
      </c>
      <c r="J403" s="234">
        <f t="shared" si="94"/>
        <v>1979773.14</v>
      </c>
      <c r="K403" s="234">
        <f t="shared" si="94"/>
        <v>2285768.79</v>
      </c>
      <c r="L403" s="234">
        <f t="shared" si="94"/>
        <v>28086910.529999997</v>
      </c>
      <c r="M403" s="234">
        <f t="shared" si="94"/>
        <v>31820696.239999998</v>
      </c>
      <c r="N403" s="234">
        <f t="shared" si="94"/>
        <v>37979284.100000001</v>
      </c>
      <c r="O403" s="234">
        <f t="shared" si="94"/>
        <v>42795324.890000001</v>
      </c>
      <c r="P403" s="234">
        <f t="shared" si="94"/>
        <v>43344629.729999997</v>
      </c>
      <c r="Q403" s="234">
        <f t="shared" si="94"/>
        <v>48913901.589999996</v>
      </c>
      <c r="R403" s="234">
        <f t="shared" si="94"/>
        <v>0</v>
      </c>
      <c r="S403" s="234">
        <f t="shared" si="94"/>
        <v>0</v>
      </c>
      <c r="T403" s="234">
        <f t="shared" si="94"/>
        <v>0</v>
      </c>
      <c r="U403" s="234">
        <f t="shared" si="94"/>
        <v>0</v>
      </c>
      <c r="V403" s="234">
        <f t="shared" si="94"/>
        <v>0</v>
      </c>
      <c r="W403" s="234">
        <f t="shared" si="94"/>
        <v>0</v>
      </c>
      <c r="X403" s="234">
        <f t="shared" si="94"/>
        <v>0</v>
      </c>
      <c r="Y403" s="234">
        <f t="shared" si="94"/>
        <v>0</v>
      </c>
      <c r="Z403" s="234">
        <f t="shared" si="94"/>
        <v>0</v>
      </c>
      <c r="AA403" s="234">
        <f t="shared" si="94"/>
        <v>0</v>
      </c>
      <c r="AB403" s="234">
        <f t="shared" si="94"/>
        <v>0</v>
      </c>
      <c r="AC403" s="234">
        <f t="shared" si="94"/>
        <v>0</v>
      </c>
      <c r="AD403" s="234">
        <f t="shared" si="94"/>
        <v>0</v>
      </c>
      <c r="AE403" s="234">
        <f t="shared" si="94"/>
        <v>0</v>
      </c>
      <c r="AF403" s="234">
        <f t="shared" si="94"/>
        <v>0</v>
      </c>
      <c r="AG403" s="234">
        <f t="shared" si="94"/>
        <v>0</v>
      </c>
      <c r="AH403" s="234">
        <f t="shared" si="94"/>
        <v>111390597.49999999</v>
      </c>
      <c r="AI403" s="234">
        <f t="shared" si="94"/>
        <v>125815691.50999999</v>
      </c>
      <c r="AJ403" s="234">
        <f>SUM(AJ390:AJ402)</f>
        <v>87463038.98999998</v>
      </c>
      <c r="AK403" s="234">
        <f t="shared" ref="AK403:AL403" si="95">SUM(AK390:AK402)</f>
        <v>528433902.5</v>
      </c>
      <c r="AL403" s="234">
        <f t="shared" si="95"/>
        <v>514008808.48999995</v>
      </c>
      <c r="AM403" s="392">
        <f t="shared" si="91"/>
        <v>0.17409554885753825</v>
      </c>
      <c r="AN403" s="392">
        <f t="shared" si="92"/>
        <v>0.19664094061730988</v>
      </c>
    </row>
    <row r="404" spans="1:40" ht="13.5" thickTop="1" x14ac:dyDescent="0.2"/>
  </sheetData>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CA129"/>
  <sheetViews>
    <sheetView zoomScale="77" zoomScaleNormal="77" workbookViewId="0">
      <pane xSplit="23" ySplit="4" topLeftCell="Y108" activePane="bottomRight" state="frozen"/>
      <selection pane="topRight" activeCell="X1" sqref="X1"/>
      <selection pane="bottomLeft" activeCell="A5" sqref="A5"/>
      <selection pane="bottomRight" activeCell="A5" sqref="A5:AJ122"/>
    </sheetView>
  </sheetViews>
  <sheetFormatPr defaultColWidth="9.140625" defaultRowHeight="15" x14ac:dyDescent="0.2"/>
  <cols>
    <col min="1" max="1" width="35.7109375" style="99" customWidth="1"/>
    <col min="2" max="2" width="55.140625" style="99" hidden="1" customWidth="1"/>
    <col min="3" max="3" width="61.5703125" style="99" hidden="1" customWidth="1"/>
    <col min="4" max="4" width="41.5703125" style="99" hidden="1" customWidth="1"/>
    <col min="5" max="5" width="10.7109375" style="100" customWidth="1"/>
    <col min="6" max="6" width="32.85546875" style="99" hidden="1" customWidth="1"/>
    <col min="7" max="7" width="28" style="99" hidden="1" customWidth="1"/>
    <col min="8" max="10" width="11.140625" style="100" hidden="1" customWidth="1"/>
    <col min="11" max="16" width="11.42578125" style="100" hidden="1" customWidth="1"/>
    <col min="17" max="17" width="17.28515625" style="99" hidden="1" customWidth="1"/>
    <col min="18" max="19" width="5.7109375" style="99" hidden="1" customWidth="1"/>
    <col min="20" max="21" width="5.7109375" style="1" hidden="1" customWidth="1"/>
    <col min="22" max="22" width="15.85546875" style="90" hidden="1" customWidth="1"/>
    <col min="23" max="23" width="5.7109375" style="90" hidden="1" customWidth="1"/>
    <col min="24" max="24" width="65" style="101" customWidth="1"/>
    <col min="25" max="25" width="22.28515625" style="99" customWidth="1"/>
    <col min="26" max="26" width="44.5703125" style="102" hidden="1" customWidth="1"/>
    <col min="27" max="27" width="22.5703125" style="102" hidden="1" customWidth="1"/>
    <col min="28" max="28" width="59.140625" style="103" hidden="1" customWidth="1"/>
    <col min="29" max="29" width="23.85546875" style="103" hidden="1" customWidth="1"/>
    <col min="30" max="30" width="17.7109375" style="103" hidden="1" customWidth="1"/>
    <col min="31" max="31" width="15.7109375" style="103" hidden="1" customWidth="1"/>
    <col min="32" max="32" width="15.5703125" style="103" hidden="1" customWidth="1"/>
    <col min="33" max="33" width="15.7109375" style="248" hidden="1" customWidth="1"/>
    <col min="34" max="34" width="15.7109375" style="105" customWidth="1"/>
    <col min="35" max="35" width="15.7109375" style="102" customWidth="1"/>
    <col min="36" max="36" width="15.7109375" style="103" customWidth="1"/>
    <col min="37" max="37" width="24.85546875" style="102" hidden="1" customWidth="1"/>
    <col min="38" max="38" width="38" style="102" hidden="1" customWidth="1"/>
    <col min="39" max="39" width="28.140625" style="102" hidden="1" customWidth="1"/>
    <col min="40" max="40" width="42.85546875" style="104" hidden="1" customWidth="1"/>
    <col min="41" max="41" width="33.28515625" style="102" hidden="1" customWidth="1"/>
    <col min="42" max="42" width="11.42578125" style="102" hidden="1" customWidth="1"/>
    <col min="43" max="43" width="47.28515625" style="105" hidden="1" customWidth="1"/>
    <col min="44" max="44" width="48.7109375" style="103" hidden="1" customWidth="1"/>
    <col min="45" max="45" width="48.42578125" style="103" hidden="1" customWidth="1"/>
    <col min="46" max="46" width="29.42578125" style="102" hidden="1" customWidth="1"/>
    <col min="47" max="47" width="11.42578125" style="102" hidden="1" customWidth="1"/>
    <col min="48" max="48" width="43.42578125" style="102" hidden="1" customWidth="1"/>
    <col min="49" max="49" width="32.42578125" style="102" hidden="1" customWidth="1"/>
    <col min="50" max="50" width="11.42578125" style="102" hidden="1" customWidth="1"/>
    <col min="51" max="51" width="46" style="102" hidden="1" customWidth="1"/>
    <col min="52" max="52" width="32.140625" style="102" hidden="1" customWidth="1"/>
    <col min="53" max="53" width="11.42578125" style="102" hidden="1" customWidth="1"/>
    <col min="54" max="54" width="46" style="102" hidden="1" customWidth="1"/>
    <col min="55" max="55" width="29.5703125" style="102" hidden="1" customWidth="1"/>
    <col min="56" max="56" width="43.5703125" style="102" hidden="1" customWidth="1"/>
    <col min="57" max="57" width="31" style="102" hidden="1" customWidth="1"/>
    <col min="58" max="58" width="44.85546875" style="102" hidden="1" customWidth="1"/>
    <col min="59" max="59" width="27.140625" style="102" hidden="1" customWidth="1"/>
    <col min="60" max="60" width="41" style="102" hidden="1" customWidth="1"/>
    <col min="61" max="61" width="24.7109375" style="102" hidden="1" customWidth="1"/>
    <col min="62" max="62" width="38.7109375" style="102" hidden="1" customWidth="1"/>
    <col min="63" max="63" width="24.140625" style="102" hidden="1" customWidth="1"/>
    <col min="64" max="64" width="38.85546875" style="102" hidden="1" customWidth="1"/>
    <col min="65" max="65" width="25.140625" style="102" hidden="1" customWidth="1"/>
    <col min="66" max="66" width="39.85546875" style="102" hidden="1" customWidth="1"/>
    <col min="67" max="67" width="37.85546875" style="102" hidden="1" customWidth="1"/>
    <col min="68" max="68" width="23.5703125" style="106" hidden="1" customWidth="1"/>
    <col min="69" max="69" width="38.28515625" style="107" hidden="1" customWidth="1"/>
    <col min="70" max="70" width="74.42578125" style="103" hidden="1" customWidth="1"/>
    <col min="71" max="71" width="24.28515625" style="102" hidden="1" customWidth="1"/>
    <col min="72" max="72" width="38.140625" style="105" hidden="1" customWidth="1"/>
    <col min="73" max="73" width="19.28515625" style="102" hidden="1" customWidth="1"/>
    <col min="74" max="74" width="20.7109375" style="105" hidden="1" customWidth="1"/>
    <col min="75" max="75" width="13.85546875" style="105" hidden="1" customWidth="1"/>
    <col min="76" max="76" width="13.7109375" style="105" hidden="1" customWidth="1"/>
    <col min="77" max="77" width="15.7109375" style="105" hidden="1" customWidth="1"/>
    <col min="78" max="78" width="75.7109375" style="109" hidden="1" customWidth="1"/>
    <col min="79" max="79" width="13.7109375" style="84" hidden="1" customWidth="1"/>
    <col min="80" max="16384" width="9.140625" style="84"/>
  </cols>
  <sheetData>
    <row r="1" spans="1:78" s="123" customFormat="1" ht="18" x14ac:dyDescent="0.25">
      <c r="A1" s="311"/>
      <c r="B1" s="311"/>
      <c r="C1" s="311"/>
      <c r="D1" s="311"/>
      <c r="E1" s="311"/>
      <c r="F1" s="311"/>
      <c r="G1" s="311"/>
      <c r="H1" s="311"/>
      <c r="I1" s="311"/>
      <c r="J1" s="259"/>
      <c r="K1" s="311"/>
      <c r="L1" s="311"/>
      <c r="M1" s="311"/>
      <c r="N1" s="311"/>
      <c r="O1" s="311"/>
      <c r="P1" s="311"/>
      <c r="Q1" s="311"/>
      <c r="R1" s="311"/>
      <c r="S1" s="311"/>
      <c r="T1" s="311"/>
      <c r="U1" s="311"/>
      <c r="V1" s="311"/>
      <c r="W1" s="311"/>
      <c r="X1" s="311" t="s">
        <v>453</v>
      </c>
      <c r="Y1" s="311"/>
      <c r="Z1" s="311"/>
      <c r="AA1" s="311"/>
      <c r="AB1" s="311"/>
      <c r="AC1" s="311"/>
      <c r="AD1" s="311"/>
      <c r="AE1" s="311"/>
      <c r="AF1" s="311"/>
      <c r="AG1" s="311"/>
      <c r="AH1" s="259"/>
      <c r="AI1" s="311"/>
      <c r="AJ1" s="311"/>
      <c r="AK1" s="311"/>
      <c r="AL1" s="311"/>
      <c r="AM1" s="311"/>
      <c r="AN1" s="311"/>
      <c r="AO1" s="311"/>
      <c r="AP1" s="311"/>
      <c r="AQ1" s="311"/>
      <c r="AR1" s="311"/>
      <c r="AS1" s="311"/>
      <c r="AT1" s="311"/>
      <c r="AU1" s="311"/>
      <c r="AV1" s="311"/>
      <c r="AW1" s="311"/>
      <c r="AX1" s="311"/>
      <c r="AY1" s="311"/>
      <c r="AZ1" s="260"/>
      <c r="BA1" s="260"/>
      <c r="BB1" s="311"/>
      <c r="BC1" s="311"/>
      <c r="BD1" s="311"/>
      <c r="BE1" s="311"/>
      <c r="BF1" s="311"/>
      <c r="BG1" s="311"/>
      <c r="BH1" s="311"/>
      <c r="BI1" s="311"/>
      <c r="BJ1" s="311"/>
      <c r="BK1" s="311"/>
      <c r="BL1" s="311"/>
      <c r="BM1" s="311"/>
      <c r="BN1" s="311"/>
      <c r="BO1" s="311"/>
      <c r="BP1" s="261"/>
      <c r="BQ1" s="261"/>
      <c r="BR1" s="262"/>
      <c r="BS1" s="311"/>
      <c r="BT1" s="311"/>
      <c r="BU1" s="311"/>
      <c r="BV1" s="311"/>
      <c r="BW1" s="260"/>
      <c r="BX1" s="260"/>
      <c r="BY1" s="260"/>
      <c r="BZ1" s="263"/>
    </row>
    <row r="2" spans="1:78" s="124" customFormat="1" ht="18" x14ac:dyDescent="0.25">
      <c r="A2" s="515" t="s">
        <v>452</v>
      </c>
      <c r="B2" s="516"/>
      <c r="C2" s="516"/>
      <c r="D2" s="516"/>
      <c r="E2" s="516"/>
      <c r="F2" s="516"/>
      <c r="G2" s="516"/>
      <c r="H2" s="516"/>
      <c r="I2" s="516"/>
      <c r="J2" s="516"/>
      <c r="K2" s="516"/>
      <c r="L2" s="516"/>
      <c r="M2" s="516"/>
      <c r="N2" s="516"/>
      <c r="O2" s="516"/>
      <c r="P2" s="516"/>
      <c r="Q2" s="516"/>
      <c r="R2" s="516"/>
      <c r="S2" s="516"/>
      <c r="T2" s="516"/>
      <c r="U2" s="516"/>
      <c r="V2" s="516"/>
      <c r="W2" s="516"/>
      <c r="X2" s="516"/>
      <c r="Y2" s="516"/>
      <c r="Z2" s="516"/>
      <c r="AA2" s="516"/>
      <c r="AB2" s="516"/>
      <c r="AC2" s="516"/>
      <c r="AD2" s="516"/>
      <c r="AE2" s="516"/>
      <c r="AF2" s="516"/>
      <c r="AG2" s="516"/>
      <c r="AH2" s="516"/>
      <c r="AI2" s="516"/>
      <c r="AJ2" s="516"/>
      <c r="AK2" s="516"/>
      <c r="AL2" s="516"/>
      <c r="AM2" s="516"/>
      <c r="AN2" s="516"/>
      <c r="AO2" s="516"/>
      <c r="AP2" s="516"/>
      <c r="AQ2" s="516"/>
      <c r="AR2" s="516"/>
      <c r="AS2" s="516"/>
      <c r="AT2" s="516"/>
      <c r="AU2" s="516"/>
      <c r="AV2" s="516"/>
      <c r="AW2" s="516"/>
      <c r="AX2" s="516"/>
      <c r="AY2" s="516"/>
      <c r="AZ2" s="516"/>
      <c r="BA2" s="516"/>
      <c r="BB2" s="516"/>
      <c r="BC2" s="516"/>
      <c r="BD2" s="516"/>
      <c r="BE2" s="516"/>
      <c r="BF2" s="516"/>
      <c r="BG2" s="516"/>
      <c r="BH2" s="516"/>
      <c r="BI2" s="516"/>
      <c r="BJ2" s="516"/>
      <c r="BK2" s="516"/>
      <c r="BL2" s="516"/>
      <c r="BM2" s="516"/>
      <c r="BN2" s="516"/>
      <c r="BO2" s="516"/>
      <c r="BP2" s="516"/>
      <c r="BQ2" s="516"/>
      <c r="BR2" s="516"/>
      <c r="BS2" s="516"/>
      <c r="BT2" s="516"/>
      <c r="BU2" s="516"/>
      <c r="BV2" s="516"/>
      <c r="BW2" s="517"/>
      <c r="BX2" s="517"/>
      <c r="BY2" s="516"/>
      <c r="BZ2" s="516"/>
    </row>
    <row r="3" spans="1:78" s="125" customFormat="1" ht="18.75" thickBot="1" x14ac:dyDescent="0.3">
      <c r="A3" s="516"/>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O3" s="516"/>
      <c r="AP3" s="516"/>
      <c r="AQ3" s="516"/>
      <c r="AR3" s="516"/>
      <c r="AS3" s="516"/>
      <c r="AT3" s="516"/>
      <c r="AU3" s="516"/>
      <c r="AV3" s="516"/>
      <c r="AW3" s="516"/>
      <c r="AX3" s="516"/>
      <c r="AY3" s="516"/>
      <c r="AZ3" s="516"/>
      <c r="BA3" s="516"/>
      <c r="BB3" s="516"/>
      <c r="BC3" s="516"/>
      <c r="BD3" s="516"/>
      <c r="BE3" s="516"/>
      <c r="BF3" s="516"/>
      <c r="BG3" s="516"/>
      <c r="BH3" s="516"/>
      <c r="BI3" s="516"/>
      <c r="BJ3" s="516"/>
      <c r="BK3" s="516"/>
      <c r="BL3" s="516"/>
      <c r="BM3" s="516"/>
      <c r="BN3" s="516"/>
      <c r="BO3" s="516"/>
      <c r="BP3" s="516"/>
      <c r="BQ3" s="516"/>
      <c r="BR3" s="516"/>
      <c r="BS3" s="516"/>
      <c r="BT3" s="516"/>
      <c r="BU3" s="516"/>
      <c r="BV3" s="516"/>
      <c r="BW3" s="517"/>
      <c r="BX3" s="517"/>
      <c r="BY3" s="516"/>
      <c r="BZ3" s="516"/>
    </row>
    <row r="4" spans="1:78" s="126" customFormat="1" ht="50.1" customHeight="1" thickBot="1" x14ac:dyDescent="0.3">
      <c r="A4" s="264" t="s">
        <v>10</v>
      </c>
      <c r="B4" s="265" t="s">
        <v>61</v>
      </c>
      <c r="C4" s="266" t="s">
        <v>224</v>
      </c>
      <c r="D4" s="266" t="s">
        <v>223</v>
      </c>
      <c r="E4" s="267" t="s">
        <v>438</v>
      </c>
      <c r="F4" s="268" t="s">
        <v>12</v>
      </c>
      <c r="G4" s="268" t="s">
        <v>71</v>
      </c>
      <c r="H4" s="269" t="s">
        <v>199</v>
      </c>
      <c r="I4" s="269" t="s">
        <v>199</v>
      </c>
      <c r="J4" s="269" t="s">
        <v>199</v>
      </c>
      <c r="K4" s="269" t="s">
        <v>185</v>
      </c>
      <c r="L4" s="269" t="s">
        <v>185</v>
      </c>
      <c r="M4" s="269" t="s">
        <v>185</v>
      </c>
      <c r="N4" s="269" t="s">
        <v>185</v>
      </c>
      <c r="O4" s="269" t="s">
        <v>185</v>
      </c>
      <c r="P4" s="269" t="s">
        <v>185</v>
      </c>
      <c r="Q4" s="268" t="s">
        <v>25</v>
      </c>
      <c r="R4" s="268" t="s">
        <v>221</v>
      </c>
      <c r="S4" s="268" t="s">
        <v>402</v>
      </c>
      <c r="T4" s="268" t="s">
        <v>23</v>
      </c>
      <c r="U4" s="268" t="s">
        <v>79</v>
      </c>
      <c r="V4" s="270" t="s">
        <v>22</v>
      </c>
      <c r="W4" s="271" t="s">
        <v>91</v>
      </c>
      <c r="X4" s="272" t="s">
        <v>11</v>
      </c>
      <c r="Y4" s="273" t="s">
        <v>432</v>
      </c>
      <c r="Z4" s="274" t="s">
        <v>207</v>
      </c>
      <c r="AA4" s="274" t="s">
        <v>250</v>
      </c>
      <c r="AB4" s="274" t="s">
        <v>251</v>
      </c>
      <c r="AC4" s="274" t="s">
        <v>284</v>
      </c>
      <c r="AD4" s="274" t="s">
        <v>431</v>
      </c>
      <c r="AE4" s="274" t="s">
        <v>291</v>
      </c>
      <c r="AF4" s="274" t="s">
        <v>292</v>
      </c>
      <c r="AG4" s="274" t="s">
        <v>413</v>
      </c>
      <c r="AH4" s="298" t="s">
        <v>138</v>
      </c>
      <c r="AI4" s="275" t="s">
        <v>139</v>
      </c>
      <c r="AJ4" s="275" t="s">
        <v>289</v>
      </c>
      <c r="AK4" s="274" t="s">
        <v>214</v>
      </c>
      <c r="AL4" s="274" t="s">
        <v>262</v>
      </c>
      <c r="AM4" s="274" t="s">
        <v>208</v>
      </c>
      <c r="AN4" s="274" t="s">
        <v>263</v>
      </c>
      <c r="AO4" s="274" t="s">
        <v>209</v>
      </c>
      <c r="AP4" s="274" t="s">
        <v>280</v>
      </c>
      <c r="AQ4" s="274" t="s">
        <v>264</v>
      </c>
      <c r="AR4" s="274" t="s">
        <v>277</v>
      </c>
      <c r="AS4" s="274" t="s">
        <v>278</v>
      </c>
      <c r="AT4" s="274" t="s">
        <v>210</v>
      </c>
      <c r="AU4" s="274" t="s">
        <v>280</v>
      </c>
      <c r="AV4" s="274" t="s">
        <v>265</v>
      </c>
      <c r="AW4" s="274" t="s">
        <v>211</v>
      </c>
      <c r="AX4" s="274" t="s">
        <v>280</v>
      </c>
      <c r="AY4" s="274" t="s">
        <v>266</v>
      </c>
      <c r="AZ4" s="274" t="s">
        <v>212</v>
      </c>
      <c r="BA4" s="274" t="s">
        <v>280</v>
      </c>
      <c r="BB4" s="274" t="s">
        <v>267</v>
      </c>
      <c r="BC4" s="274" t="s">
        <v>213</v>
      </c>
      <c r="BD4" s="274" t="s">
        <v>268</v>
      </c>
      <c r="BE4" s="274" t="s">
        <v>215</v>
      </c>
      <c r="BF4" s="274" t="s">
        <v>269</v>
      </c>
      <c r="BG4" s="274" t="s">
        <v>216</v>
      </c>
      <c r="BH4" s="274" t="s">
        <v>270</v>
      </c>
      <c r="BI4" s="274" t="s">
        <v>217</v>
      </c>
      <c r="BJ4" s="274" t="s">
        <v>271</v>
      </c>
      <c r="BK4" s="274" t="s">
        <v>218</v>
      </c>
      <c r="BL4" s="274" t="s">
        <v>272</v>
      </c>
      <c r="BM4" s="274" t="s">
        <v>219</v>
      </c>
      <c r="BN4" s="274" t="s">
        <v>273</v>
      </c>
      <c r="BO4" s="274" t="s">
        <v>220</v>
      </c>
      <c r="BP4" s="276" t="s">
        <v>203</v>
      </c>
      <c r="BQ4" s="276" t="s">
        <v>274</v>
      </c>
      <c r="BR4" s="274" t="s">
        <v>282</v>
      </c>
      <c r="BS4" s="274" t="s">
        <v>204</v>
      </c>
      <c r="BT4" s="274" t="s">
        <v>275</v>
      </c>
      <c r="BU4" s="274" t="s">
        <v>206</v>
      </c>
      <c r="BV4" s="274" t="s">
        <v>276</v>
      </c>
      <c r="BW4" s="275" t="s">
        <v>434</v>
      </c>
      <c r="BX4" s="275" t="s">
        <v>437</v>
      </c>
      <c r="BY4" s="275" t="s">
        <v>434</v>
      </c>
      <c r="BZ4" s="274" t="s">
        <v>205</v>
      </c>
    </row>
    <row r="5" spans="1:78" s="1" customFormat="1" ht="15.75" customHeight="1" x14ac:dyDescent="0.2">
      <c r="A5" s="12"/>
      <c r="B5" s="12"/>
      <c r="C5" s="12"/>
      <c r="D5" s="12"/>
      <c r="E5" s="3"/>
      <c r="F5" s="12"/>
      <c r="G5" s="24"/>
      <c r="H5" s="3"/>
      <c r="I5" s="3"/>
      <c r="J5" s="3"/>
      <c r="K5" s="3"/>
      <c r="L5" s="3"/>
      <c r="M5" s="3"/>
      <c r="N5" s="3"/>
      <c r="O5" s="3"/>
      <c r="P5" s="3"/>
      <c r="Q5" s="12"/>
      <c r="R5" s="12"/>
      <c r="S5" s="12"/>
      <c r="T5" s="12"/>
      <c r="U5" s="12"/>
      <c r="V5" s="25"/>
      <c r="W5" s="25"/>
      <c r="X5" s="32"/>
      <c r="Y5" s="12"/>
      <c r="Z5" s="27"/>
      <c r="AA5" s="27"/>
      <c r="AB5" s="7"/>
      <c r="AC5" s="7"/>
      <c r="AD5" s="7"/>
      <c r="AE5" s="7"/>
      <c r="AF5" s="7"/>
      <c r="AG5" s="7"/>
      <c r="AH5" s="27"/>
      <c r="AI5" s="27"/>
      <c r="AJ5" s="7"/>
      <c r="AK5" s="27"/>
      <c r="AL5" s="7"/>
      <c r="AM5" s="27"/>
      <c r="AN5" s="7"/>
      <c r="AO5" s="27"/>
      <c r="AP5" s="27"/>
      <c r="AQ5" s="7"/>
      <c r="AR5" s="7"/>
      <c r="AS5" s="7"/>
      <c r="AT5" s="27"/>
      <c r="AU5" s="27"/>
      <c r="AV5" s="7"/>
      <c r="AW5" s="27"/>
      <c r="AX5" s="27"/>
      <c r="AY5" s="7"/>
      <c r="AZ5" s="27"/>
      <c r="BA5" s="27"/>
      <c r="BB5" s="7"/>
      <c r="BC5" s="27"/>
      <c r="BD5" s="7">
        <f>BC5</f>
        <v>0</v>
      </c>
      <c r="BE5" s="27"/>
      <c r="BF5" s="7">
        <f>BE5</f>
        <v>0</v>
      </c>
      <c r="BG5" s="27"/>
      <c r="BH5" s="7">
        <f>BG5</f>
        <v>0</v>
      </c>
      <c r="BI5" s="27"/>
      <c r="BJ5" s="7">
        <f>BI5</f>
        <v>0</v>
      </c>
      <c r="BK5" s="27"/>
      <c r="BL5" s="7">
        <f>BK5</f>
        <v>0</v>
      </c>
      <c r="BM5" s="27"/>
      <c r="BN5" s="7">
        <f>BM5</f>
        <v>0</v>
      </c>
      <c r="BO5" s="27"/>
      <c r="BP5" s="14"/>
      <c r="BQ5" s="14"/>
      <c r="BR5" s="7"/>
      <c r="BS5" s="7"/>
      <c r="BT5" s="7"/>
      <c r="BU5" s="15"/>
      <c r="BV5" s="15"/>
      <c r="BW5" s="15"/>
      <c r="BX5" s="15"/>
      <c r="BY5" s="7"/>
      <c r="BZ5" s="27"/>
    </row>
    <row r="6" spans="1:78" s="1" customFormat="1" ht="15.75" customHeight="1" x14ac:dyDescent="0.25">
      <c r="A6" s="22" t="s">
        <v>108</v>
      </c>
      <c r="B6" s="23"/>
      <c r="C6" s="23"/>
      <c r="D6" s="23"/>
      <c r="E6" s="3"/>
      <c r="F6" s="12"/>
      <c r="G6" s="24"/>
      <c r="H6" s="3"/>
      <c r="I6" s="3"/>
      <c r="J6" s="3"/>
      <c r="K6" s="3"/>
      <c r="L6" s="3"/>
      <c r="M6" s="3"/>
      <c r="N6" s="3"/>
      <c r="O6" s="3"/>
      <c r="P6" s="3"/>
      <c r="Q6" s="12"/>
      <c r="R6" s="12"/>
      <c r="S6" s="12"/>
      <c r="T6" s="12"/>
      <c r="U6" s="12"/>
      <c r="V6" s="25"/>
      <c r="W6" s="25"/>
      <c r="X6" s="23" t="s">
        <v>247</v>
      </c>
      <c r="Y6" s="12"/>
      <c r="Z6" s="27"/>
      <c r="AA6" s="27"/>
      <c r="AB6" s="7"/>
      <c r="AC6" s="7"/>
      <c r="AD6" s="7"/>
      <c r="AE6" s="7"/>
      <c r="AF6" s="7"/>
      <c r="AG6" s="7"/>
      <c r="AH6" s="27"/>
      <c r="AI6" s="27"/>
      <c r="AJ6" s="7"/>
      <c r="AK6" s="27"/>
      <c r="AL6" s="7"/>
      <c r="AM6" s="27"/>
      <c r="AN6" s="7"/>
      <c r="AO6" s="27"/>
      <c r="AP6" s="27"/>
      <c r="AQ6" s="7"/>
      <c r="AR6" s="7"/>
      <c r="AS6" s="7"/>
      <c r="AT6" s="27"/>
      <c r="AU6" s="27"/>
      <c r="AV6" s="7"/>
      <c r="AW6" s="27"/>
      <c r="AX6" s="27"/>
      <c r="AY6" s="7"/>
      <c r="AZ6" s="27"/>
      <c r="BA6" s="27"/>
      <c r="BB6" s="7"/>
      <c r="BC6" s="27"/>
      <c r="BD6" s="7">
        <f>BC6</f>
        <v>0</v>
      </c>
      <c r="BE6" s="27"/>
      <c r="BF6" s="7">
        <f>BE6</f>
        <v>0</v>
      </c>
      <c r="BG6" s="27"/>
      <c r="BH6" s="7">
        <f>BG6</f>
        <v>0</v>
      </c>
      <c r="BI6" s="27"/>
      <c r="BJ6" s="7">
        <f>BI6</f>
        <v>0</v>
      </c>
      <c r="BK6" s="27"/>
      <c r="BL6" s="7">
        <f>BK6</f>
        <v>0</v>
      </c>
      <c r="BM6" s="27"/>
      <c r="BN6" s="7">
        <f>BM6</f>
        <v>0</v>
      </c>
      <c r="BO6" s="27"/>
      <c r="BP6" s="14"/>
      <c r="BQ6" s="14"/>
      <c r="BR6" s="7"/>
      <c r="BS6" s="7"/>
      <c r="BT6" s="7"/>
      <c r="BU6" s="15"/>
      <c r="BV6" s="15"/>
      <c r="BW6" s="15"/>
      <c r="BX6" s="15"/>
      <c r="BY6" s="7"/>
      <c r="BZ6" s="27"/>
    </row>
    <row r="7" spans="1:78" s="1" customFormat="1" ht="30.75" x14ac:dyDescent="0.25">
      <c r="A7" s="12" t="s">
        <v>7</v>
      </c>
      <c r="B7" s="23"/>
      <c r="C7" s="23"/>
      <c r="D7" s="23"/>
      <c r="E7" s="3">
        <v>250005</v>
      </c>
      <c r="F7" s="9" t="s">
        <v>13</v>
      </c>
      <c r="G7" s="24" t="s">
        <v>72</v>
      </c>
      <c r="H7" s="3"/>
      <c r="I7" s="3"/>
      <c r="J7" s="3"/>
      <c r="K7" s="3"/>
      <c r="L7" s="3"/>
      <c r="M7" s="3"/>
      <c r="N7" s="3"/>
      <c r="O7" s="3"/>
      <c r="P7" s="3"/>
      <c r="Q7" s="12" t="s">
        <v>26</v>
      </c>
      <c r="R7" s="12"/>
      <c r="S7" s="12"/>
      <c r="T7" s="12" t="s">
        <v>36</v>
      </c>
      <c r="U7" s="12" t="s">
        <v>13</v>
      </c>
      <c r="V7" s="25" t="s">
        <v>69</v>
      </c>
      <c r="W7" s="25"/>
      <c r="X7" s="12" t="s">
        <v>293</v>
      </c>
      <c r="Y7" s="12" t="s">
        <v>8</v>
      </c>
      <c r="Z7" s="36"/>
      <c r="AA7" s="36"/>
      <c r="AB7" s="7"/>
      <c r="AC7" s="33"/>
      <c r="AD7" s="33">
        <f>AB7+AC7</f>
        <v>0</v>
      </c>
      <c r="AE7" s="33"/>
      <c r="AF7" s="7">
        <f>+AD7+AE7</f>
        <v>0</v>
      </c>
      <c r="AG7" s="33"/>
      <c r="AH7" s="312">
        <v>500000</v>
      </c>
      <c r="AI7" s="312">
        <v>500000</v>
      </c>
      <c r="AJ7" s="313">
        <v>500000</v>
      </c>
      <c r="AK7" s="36"/>
      <c r="AL7" s="7"/>
      <c r="AM7" s="36"/>
      <c r="AN7" s="7"/>
      <c r="AO7" s="36"/>
      <c r="AP7" s="36"/>
      <c r="AQ7" s="7"/>
      <c r="AR7" s="7"/>
      <c r="AS7" s="7"/>
      <c r="AT7" s="36"/>
      <c r="AU7" s="36"/>
      <c r="AV7" s="7"/>
      <c r="AW7" s="36"/>
      <c r="AX7" s="36"/>
      <c r="AY7" s="7"/>
      <c r="AZ7" s="36"/>
      <c r="BA7" s="36"/>
      <c r="BB7" s="7"/>
      <c r="BC7" s="36"/>
      <c r="BD7" s="7"/>
      <c r="BE7" s="36"/>
      <c r="BF7" s="7"/>
      <c r="BG7" s="36"/>
      <c r="BH7" s="7"/>
      <c r="BI7" s="36"/>
      <c r="BJ7" s="7"/>
      <c r="BK7" s="36"/>
      <c r="BL7" s="7"/>
      <c r="BM7" s="36"/>
      <c r="BN7" s="7"/>
      <c r="BO7" s="36"/>
      <c r="BP7" s="14"/>
      <c r="BQ7" s="14"/>
      <c r="BR7" s="7"/>
      <c r="BS7" s="7"/>
      <c r="BT7" s="7"/>
      <c r="BU7" s="15"/>
      <c r="BV7" s="15"/>
      <c r="BW7" s="291"/>
      <c r="BX7" s="291"/>
      <c r="BY7" s="33"/>
      <c r="BZ7" s="36"/>
    </row>
    <row r="8" spans="1:78" s="1" customFormat="1" x14ac:dyDescent="0.2">
      <c r="A8" s="12"/>
      <c r="B8" s="24"/>
      <c r="C8" s="24"/>
      <c r="D8" s="24"/>
      <c r="E8" s="3"/>
      <c r="F8" s="9"/>
      <c r="G8" s="10"/>
      <c r="H8" s="3"/>
      <c r="I8" s="11"/>
      <c r="J8" s="3"/>
      <c r="K8" s="3"/>
      <c r="L8" s="3"/>
      <c r="M8" s="11"/>
      <c r="N8" s="11"/>
      <c r="O8" s="3"/>
      <c r="P8" s="3"/>
      <c r="Q8" s="12"/>
      <c r="R8" s="12"/>
      <c r="S8" s="12"/>
      <c r="T8" s="12"/>
      <c r="U8" s="12"/>
      <c r="V8" s="25"/>
      <c r="W8" s="34"/>
      <c r="X8" s="24"/>
      <c r="Y8" s="12"/>
      <c r="Z8" s="33"/>
      <c r="AA8" s="33"/>
      <c r="AB8" s="7"/>
      <c r="AC8" s="33"/>
      <c r="AD8" s="33"/>
      <c r="AE8" s="33"/>
      <c r="AF8" s="7"/>
      <c r="AG8" s="33"/>
      <c r="AH8" s="33"/>
      <c r="AI8" s="33"/>
      <c r="AJ8" s="33"/>
      <c r="AK8" s="33"/>
      <c r="AL8" s="7"/>
      <c r="AM8" s="33"/>
      <c r="AN8" s="7"/>
      <c r="AO8" s="33"/>
      <c r="AP8" s="33"/>
      <c r="AQ8" s="7"/>
      <c r="AR8" s="7"/>
      <c r="AS8" s="7"/>
      <c r="AT8" s="33"/>
      <c r="AU8" s="33"/>
      <c r="AV8" s="7"/>
      <c r="AW8" s="33"/>
      <c r="AX8" s="33"/>
      <c r="AY8" s="7"/>
      <c r="AZ8" s="33"/>
      <c r="BA8" s="33"/>
      <c r="BB8" s="7"/>
      <c r="BC8" s="33"/>
      <c r="BD8" s="7"/>
      <c r="BE8" s="33"/>
      <c r="BF8" s="7"/>
      <c r="BG8" s="33"/>
      <c r="BH8" s="7"/>
      <c r="BI8" s="33"/>
      <c r="BJ8" s="7"/>
      <c r="BK8" s="33"/>
      <c r="BL8" s="7"/>
      <c r="BM8" s="33"/>
      <c r="BN8" s="7"/>
      <c r="BO8" s="33"/>
      <c r="BP8" s="14"/>
      <c r="BQ8" s="14"/>
      <c r="BR8" s="7"/>
      <c r="BS8" s="7"/>
      <c r="BT8" s="7"/>
      <c r="BU8" s="15"/>
      <c r="BV8" s="15"/>
      <c r="BW8" s="291"/>
      <c r="BX8" s="291"/>
      <c r="BY8" s="33"/>
      <c r="BZ8" s="36"/>
    </row>
    <row r="9" spans="1:78" s="1" customFormat="1" ht="15" customHeight="1" x14ac:dyDescent="0.2">
      <c r="A9" s="12" t="s">
        <v>7</v>
      </c>
      <c r="B9" s="24" t="s">
        <v>62</v>
      </c>
      <c r="C9" s="24" t="s">
        <v>227</v>
      </c>
      <c r="D9" s="24"/>
      <c r="E9" s="3">
        <v>255005</v>
      </c>
      <c r="F9" s="9" t="s">
        <v>13</v>
      </c>
      <c r="G9" s="10" t="s">
        <v>13</v>
      </c>
      <c r="H9" s="3">
        <v>4</v>
      </c>
      <c r="I9" s="11" t="s">
        <v>187</v>
      </c>
      <c r="J9" s="3">
        <v>1407</v>
      </c>
      <c r="K9" s="11" t="s">
        <v>186</v>
      </c>
      <c r="L9" s="11" t="s">
        <v>189</v>
      </c>
      <c r="M9" s="11" t="s">
        <v>187</v>
      </c>
      <c r="N9" s="11" t="s">
        <v>187</v>
      </c>
      <c r="O9" s="11" t="s">
        <v>193</v>
      </c>
      <c r="P9" s="3" t="s">
        <v>188</v>
      </c>
      <c r="Q9" s="12" t="s">
        <v>110</v>
      </c>
      <c r="R9" s="12" t="s">
        <v>222</v>
      </c>
      <c r="S9" s="12"/>
      <c r="T9" s="12" t="s">
        <v>36</v>
      </c>
      <c r="U9" s="12" t="s">
        <v>13</v>
      </c>
      <c r="V9" s="25" t="s">
        <v>69</v>
      </c>
      <c r="W9" s="111"/>
      <c r="X9" s="35" t="s">
        <v>165</v>
      </c>
      <c r="Y9" s="12" t="s">
        <v>8</v>
      </c>
      <c r="Z9" s="36">
        <v>200000</v>
      </c>
      <c r="AA9" s="36"/>
      <c r="AB9" s="7">
        <f>Z9+AA9</f>
        <v>200000</v>
      </c>
      <c r="AC9" s="33"/>
      <c r="AD9" s="33">
        <f>AB9+AC9</f>
        <v>200000</v>
      </c>
      <c r="AE9" s="33">
        <v>200000</v>
      </c>
      <c r="AF9" s="7">
        <f>+AD9+AE9</f>
        <v>400000</v>
      </c>
      <c r="AG9" s="33"/>
      <c r="AH9" s="36">
        <v>100000</v>
      </c>
      <c r="AI9" s="36">
        <v>150000</v>
      </c>
      <c r="AJ9" s="33">
        <v>0</v>
      </c>
      <c r="AK9" s="36"/>
      <c r="AL9" s="7">
        <f>AK9</f>
        <v>0</v>
      </c>
      <c r="AM9" s="36"/>
      <c r="AN9" s="7">
        <f>AM9</f>
        <v>0</v>
      </c>
      <c r="AO9" s="36"/>
      <c r="AP9" s="36"/>
      <c r="AQ9" s="7">
        <f>AO9+AP9</f>
        <v>0</v>
      </c>
      <c r="AR9" s="7">
        <f>AK9+AM9+AO9</f>
        <v>0</v>
      </c>
      <c r="AS9" s="7">
        <f>AL9+AN9+AQ9</f>
        <v>0</v>
      </c>
      <c r="AT9" s="36"/>
      <c r="AU9" s="36"/>
      <c r="AV9" s="7">
        <f>AT9+AU9</f>
        <v>0</v>
      </c>
      <c r="AW9" s="36"/>
      <c r="AX9" s="36"/>
      <c r="AY9" s="7">
        <f>AW9+AX9</f>
        <v>0</v>
      </c>
      <c r="AZ9" s="36"/>
      <c r="BA9" s="36"/>
      <c r="BB9" s="7">
        <f>AZ9+BA9</f>
        <v>0</v>
      </c>
      <c r="BC9" s="36"/>
      <c r="BD9" s="7">
        <f>BC9</f>
        <v>0</v>
      </c>
      <c r="BE9" s="36"/>
      <c r="BF9" s="7">
        <f>BE9</f>
        <v>0</v>
      </c>
      <c r="BG9" s="36"/>
      <c r="BH9" s="7">
        <f>BG9</f>
        <v>0</v>
      </c>
      <c r="BI9" s="36"/>
      <c r="BJ9" s="7">
        <f>BI9</f>
        <v>0</v>
      </c>
      <c r="BK9" s="36"/>
      <c r="BL9" s="7">
        <f>BK9</f>
        <v>0</v>
      </c>
      <c r="BM9" s="36"/>
      <c r="BN9" s="7">
        <f>BM9</f>
        <v>0</v>
      </c>
      <c r="BO9" s="36"/>
      <c r="BP9" s="14">
        <f>AK9+AM9+AO9+AT9+AW9+AZ9+BC9+BE9+BG9+BI9+BK9+BM9</f>
        <v>0</v>
      </c>
      <c r="BQ9" s="14">
        <f>AL9+AN9+AQ9+AV9+AY9+BB9</f>
        <v>0</v>
      </c>
      <c r="BR9" s="7"/>
      <c r="BS9" s="7">
        <f>AD9-BP9</f>
        <v>200000</v>
      </c>
      <c r="BT9" s="7">
        <f>AD9-BQ9</f>
        <v>200000</v>
      </c>
      <c r="BU9" s="15">
        <f>BP9/AD9</f>
        <v>0</v>
      </c>
      <c r="BV9" s="15">
        <f>BQ9/AD9</f>
        <v>0</v>
      </c>
      <c r="BW9" s="291"/>
      <c r="BX9" s="291"/>
      <c r="BY9" s="33"/>
      <c r="BZ9" s="36"/>
    </row>
    <row r="10" spans="1:78" s="1" customFormat="1" ht="51" customHeight="1" x14ac:dyDescent="0.2">
      <c r="A10" s="12" t="s">
        <v>7</v>
      </c>
      <c r="B10" s="24" t="s">
        <v>62</v>
      </c>
      <c r="C10" s="24" t="s">
        <v>227</v>
      </c>
      <c r="D10" s="24"/>
      <c r="E10" s="3">
        <v>255005</v>
      </c>
      <c r="F10" s="9"/>
      <c r="G10" s="10"/>
      <c r="H10" s="3"/>
      <c r="I10" s="11"/>
      <c r="J10" s="3"/>
      <c r="K10" s="11"/>
      <c r="L10" s="11"/>
      <c r="M10" s="11"/>
      <c r="N10" s="11"/>
      <c r="O10" s="11"/>
      <c r="P10" s="3"/>
      <c r="Q10" s="12"/>
      <c r="R10" s="12"/>
      <c r="S10" s="12"/>
      <c r="T10" s="12"/>
      <c r="U10" s="12"/>
      <c r="V10" s="25"/>
      <c r="W10" s="111"/>
      <c r="X10" s="35" t="s">
        <v>482</v>
      </c>
      <c r="Y10" s="12" t="s">
        <v>460</v>
      </c>
      <c r="Z10" s="36"/>
      <c r="AA10" s="36"/>
      <c r="AB10" s="7"/>
      <c r="AC10" s="33"/>
      <c r="AD10" s="33"/>
      <c r="AE10" s="33"/>
      <c r="AF10" s="7"/>
      <c r="AG10" s="33"/>
      <c r="AH10" s="36">
        <v>500000</v>
      </c>
      <c r="AI10" s="36">
        <v>100000</v>
      </c>
      <c r="AJ10" s="33">
        <v>0</v>
      </c>
      <c r="AK10" s="36"/>
      <c r="AL10" s="7"/>
      <c r="AM10" s="36"/>
      <c r="AN10" s="7"/>
      <c r="AO10" s="36"/>
      <c r="AP10" s="36"/>
      <c r="AQ10" s="7"/>
      <c r="AR10" s="7"/>
      <c r="AS10" s="7"/>
      <c r="AT10" s="36"/>
      <c r="AU10" s="36"/>
      <c r="AV10" s="7"/>
      <c r="AW10" s="36"/>
      <c r="AX10" s="36"/>
      <c r="AY10" s="7"/>
      <c r="AZ10" s="36"/>
      <c r="BA10" s="36"/>
      <c r="BB10" s="7"/>
      <c r="BC10" s="36"/>
      <c r="BD10" s="7"/>
      <c r="BE10" s="36"/>
      <c r="BF10" s="7"/>
      <c r="BG10" s="36"/>
      <c r="BH10" s="7"/>
      <c r="BI10" s="36"/>
      <c r="BJ10" s="7"/>
      <c r="BK10" s="36"/>
      <c r="BL10" s="7"/>
      <c r="BM10" s="36"/>
      <c r="BN10" s="7"/>
      <c r="BO10" s="36"/>
      <c r="BP10" s="14"/>
      <c r="BQ10" s="14"/>
      <c r="BR10" s="7"/>
      <c r="BS10" s="7"/>
      <c r="BT10" s="7"/>
      <c r="BU10" s="15"/>
      <c r="BV10" s="15"/>
      <c r="BW10" s="291"/>
      <c r="BX10" s="291"/>
      <c r="BY10" s="33"/>
      <c r="BZ10" s="36"/>
    </row>
    <row r="11" spans="1:78" s="1" customFormat="1" ht="95.25" customHeight="1" x14ac:dyDescent="0.2">
      <c r="A11" s="12" t="s">
        <v>7</v>
      </c>
      <c r="B11" s="24" t="s">
        <v>62</v>
      </c>
      <c r="C11" s="24" t="s">
        <v>227</v>
      </c>
      <c r="D11" s="24"/>
      <c r="E11" s="3">
        <v>255005</v>
      </c>
      <c r="F11" s="9"/>
      <c r="G11" s="10"/>
      <c r="H11" s="3"/>
      <c r="I11" s="11"/>
      <c r="J11" s="3"/>
      <c r="K11" s="11"/>
      <c r="L11" s="11"/>
      <c r="M11" s="11"/>
      <c r="N11" s="11"/>
      <c r="O11" s="11"/>
      <c r="P11" s="3"/>
      <c r="Q11" s="12"/>
      <c r="R11" s="12"/>
      <c r="S11" s="12"/>
      <c r="T11" s="12"/>
      <c r="U11" s="12"/>
      <c r="V11" s="25"/>
      <c r="W11" s="111"/>
      <c r="X11" s="35" t="s">
        <v>483</v>
      </c>
      <c r="Y11" s="12" t="s">
        <v>460</v>
      </c>
      <c r="Z11" s="36"/>
      <c r="AA11" s="36"/>
      <c r="AB11" s="7"/>
      <c r="AC11" s="33"/>
      <c r="AD11" s="33"/>
      <c r="AE11" s="33"/>
      <c r="AF11" s="7"/>
      <c r="AG11" s="33"/>
      <c r="AH11" s="36">
        <v>1350000</v>
      </c>
      <c r="AI11" s="36">
        <v>1000000</v>
      </c>
      <c r="AJ11" s="33">
        <v>1000000</v>
      </c>
      <c r="AK11" s="36"/>
      <c r="AL11" s="7"/>
      <c r="AM11" s="36"/>
      <c r="AN11" s="7"/>
      <c r="AO11" s="36"/>
      <c r="AP11" s="36"/>
      <c r="AQ11" s="7"/>
      <c r="AR11" s="7"/>
      <c r="AS11" s="7"/>
      <c r="AT11" s="36"/>
      <c r="AU11" s="36"/>
      <c r="AV11" s="7"/>
      <c r="AW11" s="36"/>
      <c r="AX11" s="36"/>
      <c r="AY11" s="7"/>
      <c r="AZ11" s="36"/>
      <c r="BA11" s="36"/>
      <c r="BB11" s="7"/>
      <c r="BC11" s="36"/>
      <c r="BD11" s="7"/>
      <c r="BE11" s="36"/>
      <c r="BF11" s="7"/>
      <c r="BG11" s="36"/>
      <c r="BH11" s="7"/>
      <c r="BI11" s="36"/>
      <c r="BJ11" s="7"/>
      <c r="BK11" s="36"/>
      <c r="BL11" s="7"/>
      <c r="BM11" s="36"/>
      <c r="BN11" s="7"/>
      <c r="BO11" s="36"/>
      <c r="BP11" s="14"/>
      <c r="BQ11" s="14"/>
      <c r="BR11" s="7"/>
      <c r="BS11" s="7"/>
      <c r="BT11" s="7"/>
      <c r="BU11" s="15"/>
      <c r="BV11" s="15"/>
      <c r="BW11" s="291"/>
      <c r="BX11" s="291"/>
      <c r="BY11" s="33"/>
      <c r="BZ11" s="36"/>
    </row>
    <row r="12" spans="1:78" s="1" customFormat="1" ht="17.100000000000001" customHeight="1" thickBot="1" x14ac:dyDescent="0.3">
      <c r="A12" s="12"/>
      <c r="B12" s="24"/>
      <c r="C12" s="24"/>
      <c r="D12" s="24"/>
      <c r="E12" s="3"/>
      <c r="F12" s="9"/>
      <c r="G12" s="10"/>
      <c r="H12" s="3"/>
      <c r="I12" s="11"/>
      <c r="J12" s="3"/>
      <c r="K12" s="11"/>
      <c r="L12" s="11"/>
      <c r="M12" s="11"/>
      <c r="N12" s="11"/>
      <c r="O12" s="11"/>
      <c r="P12" s="3"/>
      <c r="Q12" s="12"/>
      <c r="R12" s="12"/>
      <c r="S12" s="12"/>
      <c r="T12" s="12"/>
      <c r="U12" s="12"/>
      <c r="V12" s="25"/>
      <c r="W12" s="111"/>
      <c r="X12" s="35"/>
      <c r="Y12" s="12"/>
      <c r="Z12" s="36"/>
      <c r="AA12" s="36"/>
      <c r="AB12" s="7"/>
      <c r="AC12" s="33"/>
      <c r="AD12" s="33"/>
      <c r="AE12" s="33"/>
      <c r="AF12" s="7"/>
      <c r="AG12" s="33"/>
      <c r="AH12" s="314">
        <f>SUM(AH9:AH11)</f>
        <v>1950000</v>
      </c>
      <c r="AI12" s="314">
        <f>SUM(AI9:AI11)</f>
        <v>1250000</v>
      </c>
      <c r="AJ12" s="314">
        <f>SUM(AJ9:AJ11)</f>
        <v>1000000</v>
      </c>
      <c r="AK12" s="36"/>
      <c r="AL12" s="7"/>
      <c r="AM12" s="36"/>
      <c r="AN12" s="7"/>
      <c r="AO12" s="36"/>
      <c r="AP12" s="36"/>
      <c r="AQ12" s="7"/>
      <c r="AR12" s="7"/>
      <c r="AS12" s="7"/>
      <c r="AT12" s="36"/>
      <c r="AU12" s="36"/>
      <c r="AV12" s="7"/>
      <c r="AW12" s="36"/>
      <c r="AX12" s="36"/>
      <c r="AY12" s="7"/>
      <c r="AZ12" s="36"/>
      <c r="BA12" s="36"/>
      <c r="BB12" s="7"/>
      <c r="BC12" s="36"/>
      <c r="BD12" s="7"/>
      <c r="BE12" s="36"/>
      <c r="BF12" s="7"/>
      <c r="BG12" s="36"/>
      <c r="BH12" s="7"/>
      <c r="BI12" s="36"/>
      <c r="BJ12" s="7"/>
      <c r="BK12" s="36"/>
      <c r="BL12" s="7"/>
      <c r="BM12" s="36"/>
      <c r="BN12" s="7"/>
      <c r="BO12" s="36"/>
      <c r="BP12" s="14"/>
      <c r="BQ12" s="14"/>
      <c r="BR12" s="7"/>
      <c r="BS12" s="7"/>
      <c r="BT12" s="7"/>
      <c r="BU12" s="15"/>
      <c r="BV12" s="15"/>
      <c r="BW12" s="291"/>
      <c r="BX12" s="291"/>
      <c r="BY12" s="33"/>
      <c r="BZ12" s="36"/>
    </row>
    <row r="13" spans="1:78" s="1" customFormat="1" ht="15" customHeight="1" x14ac:dyDescent="0.2">
      <c r="A13" s="12"/>
      <c r="B13" s="24"/>
      <c r="C13" s="24"/>
      <c r="D13" s="24"/>
      <c r="E13" s="3"/>
      <c r="F13" s="9"/>
      <c r="G13" s="10"/>
      <c r="H13" s="3"/>
      <c r="I13" s="11"/>
      <c r="J13" s="3"/>
      <c r="K13" s="11"/>
      <c r="L13" s="11"/>
      <c r="M13" s="11"/>
      <c r="N13" s="11"/>
      <c r="O13" s="11"/>
      <c r="P13" s="3"/>
      <c r="Q13" s="12"/>
      <c r="R13" s="12"/>
      <c r="S13" s="12"/>
      <c r="T13" s="12"/>
      <c r="U13" s="12"/>
      <c r="V13" s="25"/>
      <c r="W13" s="111"/>
      <c r="X13" s="35"/>
      <c r="Y13" s="12"/>
      <c r="Z13" s="36"/>
      <c r="AA13" s="36"/>
      <c r="AB13" s="7"/>
      <c r="AC13" s="33"/>
      <c r="AD13" s="33"/>
      <c r="AE13" s="33"/>
      <c r="AF13" s="7"/>
      <c r="AG13" s="33"/>
      <c r="AH13" s="36"/>
      <c r="AI13" s="36"/>
      <c r="AJ13" s="33"/>
      <c r="AK13" s="36"/>
      <c r="AL13" s="7"/>
      <c r="AM13" s="36"/>
      <c r="AN13" s="7"/>
      <c r="AO13" s="36"/>
      <c r="AP13" s="36"/>
      <c r="AQ13" s="7"/>
      <c r="AR13" s="7"/>
      <c r="AS13" s="7"/>
      <c r="AT13" s="36"/>
      <c r="AU13" s="36"/>
      <c r="AV13" s="7"/>
      <c r="AW13" s="36"/>
      <c r="AX13" s="36"/>
      <c r="AY13" s="7"/>
      <c r="AZ13" s="36"/>
      <c r="BA13" s="36"/>
      <c r="BB13" s="7"/>
      <c r="BC13" s="36"/>
      <c r="BD13" s="7"/>
      <c r="BE13" s="36"/>
      <c r="BF13" s="7"/>
      <c r="BG13" s="36"/>
      <c r="BH13" s="7"/>
      <c r="BI13" s="36"/>
      <c r="BJ13" s="7"/>
      <c r="BK13" s="36"/>
      <c r="BL13" s="7"/>
      <c r="BM13" s="36"/>
      <c r="BN13" s="7"/>
      <c r="BO13" s="36"/>
      <c r="BP13" s="14"/>
      <c r="BQ13" s="14"/>
      <c r="BR13" s="7"/>
      <c r="BS13" s="7"/>
      <c r="BT13" s="7"/>
      <c r="BU13" s="15"/>
      <c r="BV13" s="15"/>
      <c r="BW13" s="291"/>
      <c r="BX13" s="291"/>
      <c r="BY13" s="33"/>
      <c r="BZ13" s="36"/>
    </row>
    <row r="14" spans="1:78" s="1" customFormat="1" ht="15" customHeight="1" x14ac:dyDescent="0.2">
      <c r="A14" s="12" t="s">
        <v>7</v>
      </c>
      <c r="B14" s="12" t="s">
        <v>171</v>
      </c>
      <c r="C14" s="12" t="s">
        <v>226</v>
      </c>
      <c r="D14" s="12"/>
      <c r="E14" s="3">
        <v>250005</v>
      </c>
      <c r="F14" s="12" t="s">
        <v>13</v>
      </c>
      <c r="G14" s="24" t="s">
        <v>13</v>
      </c>
      <c r="H14" s="3">
        <v>4</v>
      </c>
      <c r="I14" s="3">
        <v>39</v>
      </c>
      <c r="J14" s="3">
        <v>1401</v>
      </c>
      <c r="K14" s="3" t="s">
        <v>186</v>
      </c>
      <c r="L14" s="3" t="s">
        <v>189</v>
      </c>
      <c r="M14" s="11" t="s">
        <v>187</v>
      </c>
      <c r="N14" s="11" t="s">
        <v>187</v>
      </c>
      <c r="O14" s="11" t="s">
        <v>193</v>
      </c>
      <c r="P14" s="3" t="s">
        <v>188</v>
      </c>
      <c r="Q14" s="12" t="s">
        <v>110</v>
      </c>
      <c r="R14" s="12" t="s">
        <v>222</v>
      </c>
      <c r="S14" s="12"/>
      <c r="T14" s="12" t="s">
        <v>36</v>
      </c>
      <c r="U14" s="12" t="s">
        <v>13</v>
      </c>
      <c r="V14" s="25" t="s">
        <v>69</v>
      </c>
      <c r="W14" s="25" t="s">
        <v>142</v>
      </c>
      <c r="X14" s="12" t="s">
        <v>173</v>
      </c>
      <c r="Y14" s="110" t="s">
        <v>172</v>
      </c>
      <c r="Z14" s="33">
        <v>2100000</v>
      </c>
      <c r="AA14" s="33"/>
      <c r="AB14" s="7">
        <f>Z14+AA14</f>
        <v>2100000</v>
      </c>
      <c r="AC14" s="33"/>
      <c r="AD14" s="33">
        <f>AB14+AC14</f>
        <v>2100000</v>
      </c>
      <c r="AE14" s="33"/>
      <c r="AF14" s="7">
        <f>+AD14+AE14</f>
        <v>2100000</v>
      </c>
      <c r="AG14" s="33"/>
      <c r="AH14" s="33">
        <v>10068500</v>
      </c>
      <c r="AI14" s="33">
        <v>13068500</v>
      </c>
      <c r="AJ14" s="33">
        <v>0</v>
      </c>
      <c r="AK14" s="33"/>
      <c r="AL14" s="7">
        <f>AK14</f>
        <v>0</v>
      </c>
      <c r="AM14" s="33"/>
      <c r="AN14" s="7">
        <f>AM14</f>
        <v>0</v>
      </c>
      <c r="AO14" s="33"/>
      <c r="AP14" s="33"/>
      <c r="AQ14" s="7">
        <f>AO14+AP14</f>
        <v>0</v>
      </c>
      <c r="AR14" s="7">
        <f>AK14+AM14+AO14</f>
        <v>0</v>
      </c>
      <c r="AS14" s="7">
        <f>AL14+AN14+AQ14</f>
        <v>0</v>
      </c>
      <c r="AT14" s="33"/>
      <c r="AU14" s="33"/>
      <c r="AV14" s="7">
        <f>AT14+AU14</f>
        <v>0</v>
      </c>
      <c r="AW14" s="33">
        <v>33675</v>
      </c>
      <c r="AX14" s="33"/>
      <c r="AY14" s="7">
        <f>AW14+AX14</f>
        <v>33675</v>
      </c>
      <c r="AZ14" s="33">
        <v>53800</v>
      </c>
      <c r="BA14" s="33"/>
      <c r="BB14" s="7">
        <f>AZ14+BA14</f>
        <v>53800</v>
      </c>
      <c r="BC14" s="33"/>
      <c r="BD14" s="7">
        <f>BC14</f>
        <v>0</v>
      </c>
      <c r="BE14" s="33"/>
      <c r="BF14" s="7">
        <f>BE14</f>
        <v>0</v>
      </c>
      <c r="BG14" s="33"/>
      <c r="BH14" s="7">
        <f>BG14</f>
        <v>0</v>
      </c>
      <c r="BI14" s="33"/>
      <c r="BJ14" s="7">
        <f>BI14</f>
        <v>0</v>
      </c>
      <c r="BK14" s="33"/>
      <c r="BL14" s="7">
        <f>BK14</f>
        <v>0</v>
      </c>
      <c r="BM14" s="33"/>
      <c r="BN14" s="7">
        <f>BM14</f>
        <v>0</v>
      </c>
      <c r="BO14" s="33"/>
      <c r="BP14" s="14">
        <f>AK14+AM14+AO14+AT14+AW14+AZ14+BC14+BE14+BG14+BI14+BK14+BM14</f>
        <v>87475</v>
      </c>
      <c r="BQ14" s="14">
        <f>AL14+AN14+AQ14+AV14+AY14+BB14</f>
        <v>87475</v>
      </c>
      <c r="BR14" s="7"/>
      <c r="BS14" s="7">
        <f>AD14-BP14</f>
        <v>2012525</v>
      </c>
      <c r="BT14" s="7">
        <f>AD14-BQ14</f>
        <v>2012525</v>
      </c>
      <c r="BU14" s="15">
        <f>BP14/AD14</f>
        <v>4.1654761904761903E-2</v>
      </c>
      <c r="BV14" s="15">
        <f>BQ14/AD14</f>
        <v>4.1654761904761903E-2</v>
      </c>
      <c r="BW14" s="291"/>
      <c r="BX14" s="291"/>
      <c r="BY14" s="33"/>
      <c r="BZ14" s="36"/>
    </row>
    <row r="15" spans="1:78" s="1" customFormat="1" ht="15" customHeight="1" x14ac:dyDescent="0.2">
      <c r="A15" s="12" t="s">
        <v>7</v>
      </c>
      <c r="B15" s="24" t="s">
        <v>62</v>
      </c>
      <c r="C15" s="24" t="s">
        <v>227</v>
      </c>
      <c r="D15" s="24"/>
      <c r="E15" s="3">
        <v>255005</v>
      </c>
      <c r="F15" s="9" t="s">
        <v>13</v>
      </c>
      <c r="G15" s="10" t="s">
        <v>13</v>
      </c>
      <c r="H15" s="3">
        <v>4</v>
      </c>
      <c r="I15" s="3">
        <v>35</v>
      </c>
      <c r="J15" s="3">
        <v>1403</v>
      </c>
      <c r="K15" s="3" t="s">
        <v>186</v>
      </c>
      <c r="L15" s="3" t="s">
        <v>189</v>
      </c>
      <c r="M15" s="11" t="s">
        <v>187</v>
      </c>
      <c r="N15" s="11" t="s">
        <v>187</v>
      </c>
      <c r="O15" s="11" t="s">
        <v>193</v>
      </c>
      <c r="P15" s="3" t="s">
        <v>188</v>
      </c>
      <c r="Q15" s="12" t="s">
        <v>110</v>
      </c>
      <c r="R15" s="12" t="s">
        <v>222</v>
      </c>
      <c r="S15" s="12"/>
      <c r="T15" s="12" t="s">
        <v>36</v>
      </c>
      <c r="U15" s="12" t="s">
        <v>13</v>
      </c>
      <c r="V15" s="25" t="s">
        <v>69</v>
      </c>
      <c r="W15" s="34">
        <v>13</v>
      </c>
      <c r="X15" s="24" t="s">
        <v>159</v>
      </c>
      <c r="Y15" s="110" t="s">
        <v>38</v>
      </c>
      <c r="Z15" s="36">
        <v>11684600</v>
      </c>
      <c r="AA15" s="36"/>
      <c r="AB15" s="7">
        <f>Z15+AA15</f>
        <v>11684600</v>
      </c>
      <c r="AC15" s="33"/>
      <c r="AD15" s="33">
        <f>AB15+AC15</f>
        <v>11684600</v>
      </c>
      <c r="AE15" s="33"/>
      <c r="AF15" s="7">
        <f>+AD15+AE15</f>
        <v>11684600</v>
      </c>
      <c r="AG15" s="33"/>
      <c r="AH15" s="36">
        <v>7000000</v>
      </c>
      <c r="AI15" s="36">
        <v>9000000</v>
      </c>
      <c r="AJ15" s="33">
        <v>55265000</v>
      </c>
      <c r="AK15" s="36"/>
      <c r="AL15" s="7">
        <f>AK15</f>
        <v>0</v>
      </c>
      <c r="AM15" s="36"/>
      <c r="AN15" s="7">
        <f>AM15</f>
        <v>0</v>
      </c>
      <c r="AO15" s="36"/>
      <c r="AP15" s="36"/>
      <c r="AQ15" s="7">
        <f>AO15+AP15</f>
        <v>0</v>
      </c>
      <c r="AR15" s="7">
        <f>AK15+AM15+AO15</f>
        <v>0</v>
      </c>
      <c r="AS15" s="7">
        <f>AL15+AN15+AQ15</f>
        <v>0</v>
      </c>
      <c r="AT15" s="36"/>
      <c r="AU15" s="36"/>
      <c r="AV15" s="7">
        <f>AT15+AU15</f>
        <v>0</v>
      </c>
      <c r="AW15" s="36"/>
      <c r="AX15" s="36"/>
      <c r="AY15" s="7">
        <f>AW15+AX15</f>
        <v>0</v>
      </c>
      <c r="AZ15" s="36"/>
      <c r="BA15" s="36"/>
      <c r="BB15" s="7">
        <f>AZ15+BA15</f>
        <v>0</v>
      </c>
      <c r="BC15" s="36"/>
      <c r="BD15" s="7">
        <f>BC15</f>
        <v>0</v>
      </c>
      <c r="BE15" s="36"/>
      <c r="BF15" s="7">
        <f>BE15</f>
        <v>0</v>
      </c>
      <c r="BG15" s="36"/>
      <c r="BH15" s="7">
        <f>BG15</f>
        <v>0</v>
      </c>
      <c r="BI15" s="36"/>
      <c r="BJ15" s="7">
        <f>BI15</f>
        <v>0</v>
      </c>
      <c r="BK15" s="36"/>
      <c r="BL15" s="7">
        <f>BK15</f>
        <v>0</v>
      </c>
      <c r="BM15" s="36"/>
      <c r="BN15" s="7">
        <f>BM15</f>
        <v>0</v>
      </c>
      <c r="BO15" s="36">
        <v>8771929.8200000003</v>
      </c>
      <c r="BP15" s="14">
        <f>AK15+AM15+AO15+AT15+AW15+AZ15+BC15+BE15+BG15+BI15+BK15+BM15</f>
        <v>0</v>
      </c>
      <c r="BQ15" s="14">
        <f>AL15+AN15+AQ15+AV15+AY15+BB15</f>
        <v>0</v>
      </c>
      <c r="BR15" s="7"/>
      <c r="BS15" s="7">
        <f>AD15-BP15</f>
        <v>11684600</v>
      </c>
      <c r="BT15" s="7">
        <f>AD15-BQ15</f>
        <v>11684600</v>
      </c>
      <c r="BU15" s="15">
        <f>BP15/AD15</f>
        <v>0</v>
      </c>
      <c r="BV15" s="15">
        <f>BQ15/AD15</f>
        <v>0</v>
      </c>
      <c r="BW15" s="291"/>
      <c r="BX15" s="291"/>
      <c r="BY15" s="33"/>
      <c r="BZ15" s="36"/>
    </row>
    <row r="16" spans="1:78" s="1" customFormat="1" x14ac:dyDescent="0.2">
      <c r="A16" s="12" t="s">
        <v>7</v>
      </c>
      <c r="B16" s="24" t="s">
        <v>62</v>
      </c>
      <c r="C16" s="24" t="s">
        <v>227</v>
      </c>
      <c r="D16" s="24"/>
      <c r="E16" s="3">
        <v>255005</v>
      </c>
      <c r="F16" s="9"/>
      <c r="G16" s="10"/>
      <c r="H16" s="3"/>
      <c r="I16" s="3"/>
      <c r="J16" s="3"/>
      <c r="K16" s="3"/>
      <c r="L16" s="3"/>
      <c r="M16" s="11"/>
      <c r="N16" s="11"/>
      <c r="O16" s="11"/>
      <c r="P16" s="3"/>
      <c r="Q16" s="12"/>
      <c r="R16" s="12"/>
      <c r="S16" s="12"/>
      <c r="T16" s="12"/>
      <c r="U16" s="12"/>
      <c r="V16" s="25"/>
      <c r="W16" s="34"/>
      <c r="X16" s="24" t="s">
        <v>457</v>
      </c>
      <c r="Y16" s="110" t="s">
        <v>38</v>
      </c>
      <c r="Z16" s="36"/>
      <c r="AA16" s="36"/>
      <c r="AB16" s="7"/>
      <c r="AC16" s="33"/>
      <c r="AD16" s="33"/>
      <c r="AE16" s="33"/>
      <c r="AF16" s="7"/>
      <c r="AG16" s="33"/>
      <c r="AH16" s="36">
        <v>30000000</v>
      </c>
      <c r="AI16" s="36">
        <v>30000000</v>
      </c>
      <c r="AJ16" s="33">
        <v>100000000</v>
      </c>
      <c r="AK16" s="36"/>
      <c r="AL16" s="7"/>
      <c r="AM16" s="36"/>
      <c r="AN16" s="7"/>
      <c r="AO16" s="36"/>
      <c r="AP16" s="36"/>
      <c r="AQ16" s="7"/>
      <c r="AR16" s="7"/>
      <c r="AS16" s="7"/>
      <c r="AT16" s="36"/>
      <c r="AU16" s="36"/>
      <c r="AV16" s="7"/>
      <c r="AW16" s="36"/>
      <c r="AX16" s="36"/>
      <c r="AY16" s="7"/>
      <c r="AZ16" s="36"/>
      <c r="BA16" s="36"/>
      <c r="BB16" s="7"/>
      <c r="BC16" s="36"/>
      <c r="BD16" s="7"/>
      <c r="BE16" s="36"/>
      <c r="BF16" s="7"/>
      <c r="BG16" s="36"/>
      <c r="BH16" s="7"/>
      <c r="BI16" s="36"/>
      <c r="BJ16" s="7"/>
      <c r="BK16" s="36"/>
      <c r="BL16" s="7"/>
      <c r="BM16" s="36"/>
      <c r="BN16" s="7"/>
      <c r="BO16" s="36"/>
      <c r="BP16" s="14"/>
      <c r="BQ16" s="14"/>
      <c r="BR16" s="7"/>
      <c r="BS16" s="7"/>
      <c r="BT16" s="7"/>
      <c r="BU16" s="15"/>
      <c r="BV16" s="15"/>
      <c r="BW16" s="291"/>
      <c r="BX16" s="291"/>
      <c r="BY16" s="33"/>
      <c r="BZ16" s="36"/>
    </row>
    <row r="17" spans="1:79" s="1" customFormat="1" ht="16.5" thickBot="1" x14ac:dyDescent="0.3">
      <c r="A17" s="12"/>
      <c r="B17" s="24"/>
      <c r="C17" s="24"/>
      <c r="D17" s="24"/>
      <c r="E17" s="3"/>
      <c r="F17" s="9"/>
      <c r="G17" s="10"/>
      <c r="H17" s="3"/>
      <c r="I17" s="3"/>
      <c r="J17" s="3"/>
      <c r="K17" s="3"/>
      <c r="L17" s="3"/>
      <c r="M17" s="11"/>
      <c r="N17" s="11"/>
      <c r="O17" s="11"/>
      <c r="P17" s="3"/>
      <c r="Q17" s="12"/>
      <c r="R17" s="12"/>
      <c r="S17" s="12"/>
      <c r="T17" s="12"/>
      <c r="U17" s="12"/>
      <c r="V17" s="25"/>
      <c r="W17" s="34"/>
      <c r="X17" s="24"/>
      <c r="Y17" s="110"/>
      <c r="Z17" s="36"/>
      <c r="AA17" s="36"/>
      <c r="AB17" s="7"/>
      <c r="AC17" s="33"/>
      <c r="AD17" s="33"/>
      <c r="AE17" s="33"/>
      <c r="AF17" s="7"/>
      <c r="AG17" s="33"/>
      <c r="AH17" s="314">
        <f>SUM(AH14:AH16)</f>
        <v>47068500</v>
      </c>
      <c r="AI17" s="314">
        <f>SUM(AI14:AI16)</f>
        <v>52068500</v>
      </c>
      <c r="AJ17" s="314">
        <f>SUM(AJ14:AJ16)</f>
        <v>155265000</v>
      </c>
      <c r="AK17" s="36"/>
      <c r="AL17" s="7"/>
      <c r="AM17" s="36"/>
      <c r="AN17" s="7"/>
      <c r="AO17" s="36"/>
      <c r="AP17" s="36"/>
      <c r="AQ17" s="7"/>
      <c r="AR17" s="7"/>
      <c r="AS17" s="7"/>
      <c r="AT17" s="36"/>
      <c r="AU17" s="36"/>
      <c r="AV17" s="7"/>
      <c r="AW17" s="36"/>
      <c r="AX17" s="36"/>
      <c r="AY17" s="7"/>
      <c r="AZ17" s="36"/>
      <c r="BA17" s="36"/>
      <c r="BB17" s="7"/>
      <c r="BC17" s="36"/>
      <c r="BD17" s="7"/>
      <c r="BE17" s="36"/>
      <c r="BF17" s="7"/>
      <c r="BG17" s="36"/>
      <c r="BH17" s="7"/>
      <c r="BI17" s="36"/>
      <c r="BJ17" s="7"/>
      <c r="BK17" s="36"/>
      <c r="BL17" s="7"/>
      <c r="BM17" s="36"/>
      <c r="BN17" s="7"/>
      <c r="BO17" s="36"/>
      <c r="BP17" s="14"/>
      <c r="BQ17" s="14"/>
      <c r="BR17" s="7"/>
      <c r="BS17" s="7"/>
      <c r="BT17" s="7"/>
      <c r="BU17" s="15"/>
      <c r="BV17" s="15"/>
      <c r="BW17" s="291"/>
      <c r="BX17" s="291"/>
      <c r="BY17" s="33"/>
      <c r="BZ17" s="36"/>
    </row>
    <row r="18" spans="1:79" s="1" customFormat="1" x14ac:dyDescent="0.2">
      <c r="A18" s="12"/>
      <c r="B18" s="24"/>
      <c r="C18" s="24"/>
      <c r="D18" s="24"/>
      <c r="E18" s="3"/>
      <c r="F18" s="9"/>
      <c r="G18" s="10"/>
      <c r="H18" s="3"/>
      <c r="I18" s="3"/>
      <c r="J18" s="3"/>
      <c r="K18" s="3"/>
      <c r="L18" s="3"/>
      <c r="M18" s="11"/>
      <c r="N18" s="11"/>
      <c r="O18" s="11"/>
      <c r="P18" s="3"/>
      <c r="Q18" s="12"/>
      <c r="R18" s="12"/>
      <c r="S18" s="12"/>
      <c r="T18" s="12"/>
      <c r="U18" s="12"/>
      <c r="V18" s="25"/>
      <c r="W18" s="34"/>
      <c r="X18" s="24"/>
      <c r="Y18" s="110"/>
      <c r="Z18" s="36"/>
      <c r="AA18" s="36"/>
      <c r="AB18" s="7"/>
      <c r="AC18" s="33"/>
      <c r="AD18" s="33"/>
      <c r="AE18" s="33"/>
      <c r="AF18" s="7"/>
      <c r="AG18" s="33"/>
      <c r="AH18" s="36"/>
      <c r="AI18" s="36"/>
      <c r="AJ18" s="33"/>
      <c r="AK18" s="36"/>
      <c r="AL18" s="7"/>
      <c r="AM18" s="36"/>
      <c r="AN18" s="7"/>
      <c r="AO18" s="36"/>
      <c r="AP18" s="36"/>
      <c r="AQ18" s="7"/>
      <c r="AR18" s="7"/>
      <c r="AS18" s="7"/>
      <c r="AT18" s="36"/>
      <c r="AU18" s="36"/>
      <c r="AV18" s="7"/>
      <c r="AW18" s="36"/>
      <c r="AX18" s="36"/>
      <c r="AY18" s="7"/>
      <c r="AZ18" s="36"/>
      <c r="BA18" s="36"/>
      <c r="BB18" s="7"/>
      <c r="BC18" s="36"/>
      <c r="BD18" s="7"/>
      <c r="BE18" s="36"/>
      <c r="BF18" s="7"/>
      <c r="BG18" s="36"/>
      <c r="BH18" s="7"/>
      <c r="BI18" s="36"/>
      <c r="BJ18" s="7"/>
      <c r="BK18" s="36"/>
      <c r="BL18" s="7"/>
      <c r="BM18" s="36"/>
      <c r="BN18" s="7"/>
      <c r="BO18" s="36"/>
      <c r="BP18" s="14"/>
      <c r="BQ18" s="14"/>
      <c r="BR18" s="7"/>
      <c r="BS18" s="7"/>
      <c r="BT18" s="7"/>
      <c r="BU18" s="15"/>
      <c r="BV18" s="15"/>
      <c r="BW18" s="291"/>
      <c r="BX18" s="291"/>
      <c r="BY18" s="33"/>
      <c r="BZ18" s="36"/>
    </row>
    <row r="19" spans="1:79" s="1" customFormat="1" ht="15" customHeight="1" x14ac:dyDescent="0.25">
      <c r="A19" s="12" t="s">
        <v>7</v>
      </c>
      <c r="B19" s="24" t="s">
        <v>62</v>
      </c>
      <c r="C19" s="24" t="s">
        <v>227</v>
      </c>
      <c r="D19" s="24"/>
      <c r="E19" s="3">
        <v>255005</v>
      </c>
      <c r="F19" s="9" t="s">
        <v>13</v>
      </c>
      <c r="G19" s="10" t="s">
        <v>13</v>
      </c>
      <c r="H19" s="3">
        <v>4</v>
      </c>
      <c r="I19" s="3">
        <v>35</v>
      </c>
      <c r="J19" s="3">
        <v>1404</v>
      </c>
      <c r="K19" s="3" t="s">
        <v>186</v>
      </c>
      <c r="L19" s="3" t="s">
        <v>189</v>
      </c>
      <c r="M19" s="11" t="s">
        <v>187</v>
      </c>
      <c r="N19" s="11" t="s">
        <v>187</v>
      </c>
      <c r="O19" s="11" t="s">
        <v>193</v>
      </c>
      <c r="P19" s="3" t="s">
        <v>188</v>
      </c>
      <c r="Q19" s="12" t="s">
        <v>110</v>
      </c>
      <c r="R19" s="12" t="s">
        <v>222</v>
      </c>
      <c r="S19" s="12"/>
      <c r="T19" s="12" t="s">
        <v>36</v>
      </c>
      <c r="U19" s="12" t="s">
        <v>13</v>
      </c>
      <c r="V19" s="25" t="s">
        <v>69</v>
      </c>
      <c r="W19" s="34">
        <v>13</v>
      </c>
      <c r="X19" s="24" t="s">
        <v>281</v>
      </c>
      <c r="Y19" s="110" t="s">
        <v>38</v>
      </c>
      <c r="Z19" s="36">
        <v>10000000</v>
      </c>
      <c r="AA19" s="36"/>
      <c r="AB19" s="7">
        <f>Z19+AA19</f>
        <v>10000000</v>
      </c>
      <c r="AC19" s="33"/>
      <c r="AD19" s="33">
        <f>AB19+AC19</f>
        <v>10000000</v>
      </c>
      <c r="AE19" s="33"/>
      <c r="AF19" s="7">
        <f>+AD19+AE19</f>
        <v>10000000</v>
      </c>
      <c r="AG19" s="33"/>
      <c r="AH19" s="36">
        <v>8722000</v>
      </c>
      <c r="AI19" s="36">
        <v>19134500</v>
      </c>
      <c r="AJ19" s="33">
        <v>36795436</v>
      </c>
      <c r="AK19" s="36"/>
      <c r="AL19" s="7">
        <f>AK19</f>
        <v>0</v>
      </c>
      <c r="AM19" s="36">
        <v>48240</v>
      </c>
      <c r="AN19" s="7">
        <f>AM19</f>
        <v>48240</v>
      </c>
      <c r="AO19" s="36"/>
      <c r="AP19" s="36"/>
      <c r="AQ19" s="7">
        <f>AO19+AP19</f>
        <v>0</v>
      </c>
      <c r="AR19" s="7">
        <f>AK19+AM19+AO19</f>
        <v>48240</v>
      </c>
      <c r="AS19" s="7">
        <f>AL19+AN19+AQ19</f>
        <v>48240</v>
      </c>
      <c r="AT19" s="36"/>
      <c r="AU19" s="36"/>
      <c r="AV19" s="7">
        <f>AT19+AU19</f>
        <v>0</v>
      </c>
      <c r="AW19" s="36"/>
      <c r="AX19" s="36"/>
      <c r="AY19" s="7">
        <f>AW19+AX19</f>
        <v>0</v>
      </c>
      <c r="AZ19" s="36">
        <v>18152.900000000001</v>
      </c>
      <c r="BA19" s="36"/>
      <c r="BB19" s="7">
        <f>AZ19+BA19</f>
        <v>18152.900000000001</v>
      </c>
      <c r="BC19" s="36"/>
      <c r="BD19" s="7">
        <f>BC19</f>
        <v>0</v>
      </c>
      <c r="BE19" s="36"/>
      <c r="BF19" s="7">
        <f>BE19</f>
        <v>0</v>
      </c>
      <c r="BG19" s="36"/>
      <c r="BH19" s="7">
        <f>BG19</f>
        <v>0</v>
      </c>
      <c r="BI19" s="36"/>
      <c r="BJ19" s="7">
        <f>BI19</f>
        <v>0</v>
      </c>
      <c r="BK19" s="36"/>
      <c r="BL19" s="7">
        <f>BK19</f>
        <v>0</v>
      </c>
      <c r="BM19" s="36"/>
      <c r="BN19" s="7">
        <f>BM19</f>
        <v>0</v>
      </c>
      <c r="BO19" s="36"/>
      <c r="BP19" s="14">
        <f>AK19+AM19+AO19+AT19+AW19+AZ19+BC19+BE19+BG19+BI19+BK19+BM19</f>
        <v>66392.899999999994</v>
      </c>
      <c r="BQ19" s="14">
        <f>AL19+AN19+AQ19+AV19+AY19+BB19</f>
        <v>66392.899999999994</v>
      </c>
      <c r="BR19" s="7"/>
      <c r="BS19" s="7">
        <f>AD19-BP19</f>
        <v>9933607.0999999996</v>
      </c>
      <c r="BT19" s="7">
        <f>AD19-BQ19</f>
        <v>9933607.0999999996</v>
      </c>
      <c r="BU19" s="15">
        <f>BP19/AD19</f>
        <v>6.6392899999999991E-3</v>
      </c>
      <c r="BV19" s="15">
        <f>BQ19/AD19</f>
        <v>6.6392899999999991E-3</v>
      </c>
      <c r="BW19" s="291"/>
      <c r="BX19" s="291"/>
      <c r="BY19" s="33"/>
      <c r="BZ19" s="36"/>
      <c r="CA19" s="308">
        <f>+AF19+AH19+AI19+AJ19</f>
        <v>74651936</v>
      </c>
    </row>
    <row r="20" spans="1:79" s="1" customFormat="1" ht="15" customHeight="1" x14ac:dyDescent="0.25">
      <c r="A20" s="12" t="s">
        <v>7</v>
      </c>
      <c r="B20" s="24" t="s">
        <v>62</v>
      </c>
      <c r="C20" s="24" t="s">
        <v>227</v>
      </c>
      <c r="D20" s="24"/>
      <c r="E20" s="3">
        <v>255005</v>
      </c>
      <c r="F20" s="9"/>
      <c r="G20" s="10"/>
      <c r="H20" s="3"/>
      <c r="I20" s="3"/>
      <c r="J20" s="3"/>
      <c r="K20" s="3"/>
      <c r="L20" s="3"/>
      <c r="M20" s="11"/>
      <c r="N20" s="11"/>
      <c r="O20" s="11"/>
      <c r="P20" s="3"/>
      <c r="Q20" s="12"/>
      <c r="R20" s="12"/>
      <c r="S20" s="12"/>
      <c r="T20" s="12"/>
      <c r="U20" s="12"/>
      <c r="V20" s="25"/>
      <c r="W20" s="34"/>
      <c r="X20" s="24" t="s">
        <v>456</v>
      </c>
      <c r="Y20" s="110" t="s">
        <v>38</v>
      </c>
      <c r="Z20" s="36"/>
      <c r="AA20" s="36"/>
      <c r="AB20" s="7"/>
      <c r="AC20" s="33"/>
      <c r="AD20" s="33"/>
      <c r="AE20" s="33"/>
      <c r="AF20" s="7"/>
      <c r="AG20" s="33"/>
      <c r="AH20" s="36">
        <v>14965387</v>
      </c>
      <c r="AI20" s="36">
        <v>59804569</v>
      </c>
      <c r="AJ20" s="33">
        <v>30000000</v>
      </c>
      <c r="AK20" s="36"/>
      <c r="AL20" s="7"/>
      <c r="AM20" s="36"/>
      <c r="AN20" s="7"/>
      <c r="AO20" s="36"/>
      <c r="AP20" s="36"/>
      <c r="AQ20" s="7"/>
      <c r="AR20" s="7"/>
      <c r="AS20" s="7"/>
      <c r="AT20" s="36"/>
      <c r="AU20" s="36"/>
      <c r="AV20" s="7"/>
      <c r="AW20" s="36"/>
      <c r="AX20" s="36"/>
      <c r="AY20" s="7"/>
      <c r="AZ20" s="36"/>
      <c r="BA20" s="36"/>
      <c r="BB20" s="7"/>
      <c r="BC20" s="36"/>
      <c r="BD20" s="7"/>
      <c r="BE20" s="36"/>
      <c r="BF20" s="7"/>
      <c r="BG20" s="36"/>
      <c r="BH20" s="7"/>
      <c r="BI20" s="36"/>
      <c r="BJ20" s="7"/>
      <c r="BK20" s="36"/>
      <c r="BL20" s="7"/>
      <c r="BM20" s="36"/>
      <c r="BN20" s="7"/>
      <c r="BO20" s="36"/>
      <c r="BP20" s="14"/>
      <c r="BQ20" s="14"/>
      <c r="BR20" s="7"/>
      <c r="BS20" s="7"/>
      <c r="BT20" s="7"/>
      <c r="BU20" s="15"/>
      <c r="BV20" s="15"/>
      <c r="BW20" s="291"/>
      <c r="BX20" s="291"/>
      <c r="BY20" s="33"/>
      <c r="BZ20" s="36"/>
      <c r="CA20" s="308"/>
    </row>
    <row r="21" spans="1:79" s="1" customFormat="1" ht="17.100000000000001" customHeight="1" thickBot="1" x14ac:dyDescent="0.3">
      <c r="A21" s="12"/>
      <c r="B21" s="24"/>
      <c r="C21" s="24"/>
      <c r="D21" s="24"/>
      <c r="E21" s="3"/>
      <c r="F21" s="9"/>
      <c r="G21" s="10"/>
      <c r="H21" s="3"/>
      <c r="I21" s="3"/>
      <c r="J21" s="3"/>
      <c r="K21" s="3"/>
      <c r="L21" s="3"/>
      <c r="M21" s="11"/>
      <c r="N21" s="11"/>
      <c r="O21" s="11"/>
      <c r="P21" s="3"/>
      <c r="Q21" s="12"/>
      <c r="R21" s="12"/>
      <c r="S21" s="12"/>
      <c r="T21" s="12"/>
      <c r="U21" s="12"/>
      <c r="V21" s="25"/>
      <c r="W21" s="34"/>
      <c r="X21" s="24"/>
      <c r="Y21" s="110"/>
      <c r="Z21" s="36"/>
      <c r="AA21" s="36"/>
      <c r="AB21" s="7"/>
      <c r="AC21" s="33"/>
      <c r="AD21" s="33"/>
      <c r="AE21" s="33"/>
      <c r="AF21" s="7"/>
      <c r="AG21" s="33"/>
      <c r="AH21" s="314">
        <f>SUM(AH19:AH20)</f>
        <v>23687387</v>
      </c>
      <c r="AI21" s="314">
        <f>SUM(AI19:AI20)</f>
        <v>78939069</v>
      </c>
      <c r="AJ21" s="314">
        <f>SUM(AJ19:AJ20)</f>
        <v>66795436</v>
      </c>
      <c r="AK21" s="36"/>
      <c r="AL21" s="7"/>
      <c r="AM21" s="36"/>
      <c r="AN21" s="7"/>
      <c r="AO21" s="36"/>
      <c r="AP21" s="36"/>
      <c r="AQ21" s="7"/>
      <c r="AR21" s="7"/>
      <c r="AS21" s="7"/>
      <c r="AT21" s="36"/>
      <c r="AU21" s="36"/>
      <c r="AV21" s="7"/>
      <c r="AW21" s="36"/>
      <c r="AX21" s="36"/>
      <c r="AY21" s="7"/>
      <c r="AZ21" s="36"/>
      <c r="BA21" s="36"/>
      <c r="BB21" s="7"/>
      <c r="BC21" s="36"/>
      <c r="BD21" s="7"/>
      <c r="BE21" s="36"/>
      <c r="BF21" s="7"/>
      <c r="BG21" s="36"/>
      <c r="BH21" s="7"/>
      <c r="BI21" s="36"/>
      <c r="BJ21" s="7"/>
      <c r="BK21" s="36"/>
      <c r="BL21" s="7"/>
      <c r="BM21" s="36"/>
      <c r="BN21" s="7"/>
      <c r="BO21" s="36"/>
      <c r="BP21" s="14"/>
      <c r="BQ21" s="14"/>
      <c r="BR21" s="7"/>
      <c r="BS21" s="7"/>
      <c r="BT21" s="7"/>
      <c r="BU21" s="15"/>
      <c r="BV21" s="15"/>
      <c r="BW21" s="291"/>
      <c r="BX21" s="291"/>
      <c r="BY21" s="33"/>
      <c r="BZ21" s="36"/>
      <c r="CA21" s="308"/>
    </row>
    <row r="22" spans="1:79" s="1" customFormat="1" ht="15" customHeight="1" x14ac:dyDescent="0.25">
      <c r="A22" s="12"/>
      <c r="B22" s="24"/>
      <c r="C22" s="24"/>
      <c r="D22" s="24"/>
      <c r="E22" s="3"/>
      <c r="F22" s="9"/>
      <c r="G22" s="10"/>
      <c r="H22" s="3"/>
      <c r="I22" s="3"/>
      <c r="J22" s="3"/>
      <c r="K22" s="3"/>
      <c r="L22" s="3"/>
      <c r="M22" s="11"/>
      <c r="N22" s="11"/>
      <c r="O22" s="11"/>
      <c r="P22" s="3"/>
      <c r="Q22" s="12"/>
      <c r="R22" s="12"/>
      <c r="S22" s="12"/>
      <c r="T22" s="12"/>
      <c r="U22" s="12"/>
      <c r="V22" s="25"/>
      <c r="W22" s="34"/>
      <c r="X22" s="10"/>
      <c r="Y22" s="110"/>
      <c r="Z22" s="36"/>
      <c r="AA22" s="36"/>
      <c r="AB22" s="7"/>
      <c r="AC22" s="33"/>
      <c r="AD22" s="33"/>
      <c r="AE22" s="33"/>
      <c r="AF22" s="7"/>
      <c r="AG22" s="33"/>
      <c r="AH22" s="312"/>
      <c r="AI22" s="312"/>
      <c r="AJ22" s="312"/>
      <c r="AK22" s="36"/>
      <c r="AL22" s="7"/>
      <c r="AM22" s="36"/>
      <c r="AN22" s="7"/>
      <c r="AO22" s="36"/>
      <c r="AP22" s="36"/>
      <c r="AQ22" s="7"/>
      <c r="AR22" s="7"/>
      <c r="AS22" s="7"/>
      <c r="AT22" s="36"/>
      <c r="AU22" s="36"/>
      <c r="AV22" s="7"/>
      <c r="AW22" s="36"/>
      <c r="AX22" s="36"/>
      <c r="AY22" s="7"/>
      <c r="AZ22" s="36"/>
      <c r="BA22" s="36"/>
      <c r="BB22" s="7"/>
      <c r="BC22" s="36"/>
      <c r="BD22" s="7"/>
      <c r="BE22" s="36"/>
      <c r="BF22" s="7"/>
      <c r="BG22" s="36"/>
      <c r="BH22" s="7"/>
      <c r="BI22" s="36"/>
      <c r="BJ22" s="7"/>
      <c r="BK22" s="36"/>
      <c r="BL22" s="7"/>
      <c r="BM22" s="36"/>
      <c r="BN22" s="7"/>
      <c r="BO22" s="36"/>
      <c r="BP22" s="14"/>
      <c r="BQ22" s="14"/>
      <c r="BR22" s="7"/>
      <c r="BS22" s="7"/>
      <c r="BT22" s="7"/>
      <c r="BU22" s="15"/>
      <c r="BV22" s="15"/>
      <c r="BW22" s="291"/>
      <c r="BX22" s="291"/>
      <c r="BY22" s="33"/>
      <c r="BZ22" s="36"/>
      <c r="CA22" s="308"/>
    </row>
    <row r="23" spans="1:79" s="1" customFormat="1" ht="15" customHeight="1" x14ac:dyDescent="0.2">
      <c r="A23" s="12" t="s">
        <v>7</v>
      </c>
      <c r="B23" s="24" t="s">
        <v>62</v>
      </c>
      <c r="C23" s="24" t="s">
        <v>227</v>
      </c>
      <c r="D23" s="24" t="s">
        <v>13</v>
      </c>
      <c r="E23" s="3">
        <v>255005</v>
      </c>
      <c r="F23" s="9" t="s">
        <v>13</v>
      </c>
      <c r="G23" s="10" t="s">
        <v>13</v>
      </c>
      <c r="H23" s="3">
        <v>4</v>
      </c>
      <c r="I23" s="3">
        <v>36</v>
      </c>
      <c r="J23" s="3">
        <v>1401</v>
      </c>
      <c r="K23" s="3" t="s">
        <v>186</v>
      </c>
      <c r="L23" s="3" t="s">
        <v>189</v>
      </c>
      <c r="M23" s="11" t="s">
        <v>187</v>
      </c>
      <c r="N23" s="11" t="s">
        <v>187</v>
      </c>
      <c r="O23" s="11" t="s">
        <v>193</v>
      </c>
      <c r="P23" s="3" t="s">
        <v>188</v>
      </c>
      <c r="Q23" s="12" t="s">
        <v>110</v>
      </c>
      <c r="R23" s="12" t="s">
        <v>222</v>
      </c>
      <c r="S23" s="12"/>
      <c r="T23" s="12" t="s">
        <v>36</v>
      </c>
      <c r="U23" s="12" t="s">
        <v>13</v>
      </c>
      <c r="V23" s="25" t="s">
        <v>69</v>
      </c>
      <c r="W23" s="111">
        <v>13</v>
      </c>
      <c r="X23" s="9" t="s">
        <v>151</v>
      </c>
      <c r="Y23" s="110" t="s">
        <v>37</v>
      </c>
      <c r="Z23" s="33">
        <v>6815400</v>
      </c>
      <c r="AA23" s="33"/>
      <c r="AB23" s="7">
        <f>Z23+AA23</f>
        <v>6815400</v>
      </c>
      <c r="AC23" s="33"/>
      <c r="AD23" s="33">
        <f>AB23+AC23</f>
        <v>6815400</v>
      </c>
      <c r="AE23" s="33">
        <v>5000000</v>
      </c>
      <c r="AF23" s="7">
        <f>+AD23+AE23</f>
        <v>11815400</v>
      </c>
      <c r="AG23" s="33"/>
      <c r="AH23" s="33">
        <v>6815400</v>
      </c>
      <c r="AI23" s="33">
        <v>100000</v>
      </c>
      <c r="AJ23" s="33">
        <v>100000</v>
      </c>
      <c r="AK23" s="33"/>
      <c r="AL23" s="7">
        <f>AK23</f>
        <v>0</v>
      </c>
      <c r="AM23" s="33">
        <v>4119.6000000000004</v>
      </c>
      <c r="AN23" s="7">
        <f>AM23</f>
        <v>4119.6000000000004</v>
      </c>
      <c r="AO23" s="33">
        <v>-4119.6000000000004</v>
      </c>
      <c r="AP23" s="33">
        <v>0</v>
      </c>
      <c r="AQ23" s="7">
        <f>AO23+AP23</f>
        <v>-4119.6000000000004</v>
      </c>
      <c r="AR23" s="7">
        <f>AK23+AM23+AO23</f>
        <v>0</v>
      </c>
      <c r="AS23" s="7">
        <f>AL23+AN23+AQ23</f>
        <v>0</v>
      </c>
      <c r="AT23" s="33"/>
      <c r="AU23" s="33"/>
      <c r="AV23" s="7">
        <f>AT23+AU23</f>
        <v>0</v>
      </c>
      <c r="AW23" s="33"/>
      <c r="AX23" s="33"/>
      <c r="AY23" s="7">
        <f>AW23+AX23</f>
        <v>0</v>
      </c>
      <c r="AZ23" s="33"/>
      <c r="BA23" s="33"/>
      <c r="BB23" s="7">
        <f>AZ23+BA23</f>
        <v>0</v>
      </c>
      <c r="BC23" s="33"/>
      <c r="BD23" s="7">
        <f>BC23</f>
        <v>0</v>
      </c>
      <c r="BE23" s="33"/>
      <c r="BF23" s="7">
        <f>BE23</f>
        <v>0</v>
      </c>
      <c r="BG23" s="33"/>
      <c r="BH23" s="7">
        <f>BG23</f>
        <v>0</v>
      </c>
      <c r="BI23" s="33"/>
      <c r="BJ23" s="7">
        <f>BI23</f>
        <v>0</v>
      </c>
      <c r="BK23" s="33"/>
      <c r="BL23" s="7">
        <f>BK23</f>
        <v>0</v>
      </c>
      <c r="BM23" s="33"/>
      <c r="BN23" s="7">
        <f>BM23</f>
        <v>0</v>
      </c>
      <c r="BO23" s="33">
        <v>3614075.5</v>
      </c>
      <c r="BP23" s="14">
        <f>AK23+AM23+AO23+AT23+AW23+AZ23+BC23+BE23+BG23+BI23+BK23+BM23</f>
        <v>0</v>
      </c>
      <c r="BQ23" s="14">
        <f>AL23+AN23+AQ23+AV23+AY23+BB23</f>
        <v>0</v>
      </c>
      <c r="BR23" s="7"/>
      <c r="BS23" s="7">
        <f>AD23-BP23</f>
        <v>6815400</v>
      </c>
      <c r="BT23" s="7">
        <f>AD23-BQ23</f>
        <v>6815400</v>
      </c>
      <c r="BU23" s="15">
        <f>BP23/AD23</f>
        <v>0</v>
      </c>
      <c r="BV23" s="15">
        <f>BQ23/AD23</f>
        <v>0</v>
      </c>
      <c r="BW23" s="33">
        <v>55265000</v>
      </c>
      <c r="BX23" s="33"/>
      <c r="BY23" s="33"/>
      <c r="BZ23" s="36"/>
    </row>
    <row r="24" spans="1:79" s="1" customFormat="1" ht="15" customHeight="1" x14ac:dyDescent="0.25">
      <c r="A24" s="12" t="s">
        <v>7</v>
      </c>
      <c r="B24" s="24" t="s">
        <v>62</v>
      </c>
      <c r="C24" s="24" t="s">
        <v>227</v>
      </c>
      <c r="D24" s="24"/>
      <c r="E24" s="3">
        <v>255005</v>
      </c>
      <c r="F24" s="9" t="s">
        <v>13</v>
      </c>
      <c r="G24" s="10" t="s">
        <v>13</v>
      </c>
      <c r="H24" s="3">
        <v>4</v>
      </c>
      <c r="I24" s="3">
        <v>35</v>
      </c>
      <c r="J24" s="3">
        <v>1404</v>
      </c>
      <c r="K24" s="3" t="s">
        <v>186</v>
      </c>
      <c r="L24" s="3" t="s">
        <v>189</v>
      </c>
      <c r="M24" s="11" t="s">
        <v>187</v>
      </c>
      <c r="N24" s="11" t="s">
        <v>187</v>
      </c>
      <c r="O24" s="11" t="s">
        <v>193</v>
      </c>
      <c r="P24" s="3" t="s">
        <v>188</v>
      </c>
      <c r="Q24" s="12" t="s">
        <v>110</v>
      </c>
      <c r="R24" s="12" t="s">
        <v>222</v>
      </c>
      <c r="S24" s="12"/>
      <c r="T24" s="12" t="s">
        <v>36</v>
      </c>
      <c r="U24" s="12" t="s">
        <v>13</v>
      </c>
      <c r="V24" s="25" t="s">
        <v>69</v>
      </c>
      <c r="W24" s="34">
        <v>13</v>
      </c>
      <c r="X24" s="24" t="s">
        <v>281</v>
      </c>
      <c r="Y24" s="110" t="s">
        <v>37</v>
      </c>
      <c r="Z24" s="36"/>
      <c r="AA24" s="36"/>
      <c r="AB24" s="7"/>
      <c r="AC24" s="33"/>
      <c r="AD24" s="33"/>
      <c r="AE24" s="33"/>
      <c r="AF24" s="7"/>
      <c r="AG24" s="33"/>
      <c r="AH24" s="36">
        <v>0</v>
      </c>
      <c r="AI24" s="36">
        <v>10000000</v>
      </c>
      <c r="AJ24" s="33">
        <f>36795436+36128515.73-10000000</f>
        <v>62923951.729999989</v>
      </c>
      <c r="AK24" s="36"/>
      <c r="AL24" s="7"/>
      <c r="AM24" s="36"/>
      <c r="AN24" s="7"/>
      <c r="AO24" s="36"/>
      <c r="AP24" s="36"/>
      <c r="AQ24" s="7"/>
      <c r="AR24" s="7"/>
      <c r="AS24" s="7"/>
      <c r="AT24" s="36"/>
      <c r="AU24" s="36"/>
      <c r="AV24" s="7"/>
      <c r="AW24" s="36"/>
      <c r="AX24" s="36"/>
      <c r="AY24" s="7"/>
      <c r="AZ24" s="36"/>
      <c r="BA24" s="36"/>
      <c r="BB24" s="7"/>
      <c r="BC24" s="36"/>
      <c r="BD24" s="7"/>
      <c r="BE24" s="36"/>
      <c r="BF24" s="7"/>
      <c r="BG24" s="36"/>
      <c r="BH24" s="7"/>
      <c r="BI24" s="36"/>
      <c r="BJ24" s="7"/>
      <c r="BK24" s="36"/>
      <c r="BL24" s="7"/>
      <c r="BM24" s="36"/>
      <c r="BN24" s="7"/>
      <c r="BO24" s="36"/>
      <c r="BP24" s="14"/>
      <c r="BQ24" s="14"/>
      <c r="BR24" s="7"/>
      <c r="BS24" s="7"/>
      <c r="BT24" s="7"/>
      <c r="BU24" s="15"/>
      <c r="BV24" s="15"/>
      <c r="BW24" s="291"/>
      <c r="BX24" s="291"/>
      <c r="BY24" s="33"/>
      <c r="BZ24" s="36"/>
      <c r="CA24" s="308">
        <f>+AF24+AH24+AI24+AJ24</f>
        <v>72923951.729999989</v>
      </c>
    </row>
    <row r="25" spans="1:79" s="1" customFormat="1" ht="17.100000000000001" customHeight="1" thickBot="1" x14ac:dyDescent="0.3">
      <c r="A25" s="12"/>
      <c r="B25" s="24"/>
      <c r="C25" s="24"/>
      <c r="D25" s="24"/>
      <c r="E25" s="3"/>
      <c r="F25" s="9"/>
      <c r="G25" s="10"/>
      <c r="H25" s="3"/>
      <c r="I25" s="3"/>
      <c r="J25" s="3"/>
      <c r="K25" s="3"/>
      <c r="L25" s="3"/>
      <c r="M25" s="11"/>
      <c r="N25" s="11"/>
      <c r="O25" s="11"/>
      <c r="P25" s="3"/>
      <c r="Q25" s="12"/>
      <c r="R25" s="12"/>
      <c r="S25" s="12"/>
      <c r="T25" s="12"/>
      <c r="U25" s="12"/>
      <c r="V25" s="25"/>
      <c r="W25" s="34"/>
      <c r="X25" s="24"/>
      <c r="Y25" s="110"/>
      <c r="Z25" s="36"/>
      <c r="AA25" s="36"/>
      <c r="AB25" s="7"/>
      <c r="AC25" s="33"/>
      <c r="AD25" s="33"/>
      <c r="AE25" s="33"/>
      <c r="AF25" s="7"/>
      <c r="AG25" s="33"/>
      <c r="AH25" s="314">
        <f>SUM(AH23:AH24)</f>
        <v>6815400</v>
      </c>
      <c r="AI25" s="314">
        <f>SUM(AI23:AI24)</f>
        <v>10100000</v>
      </c>
      <c r="AJ25" s="314">
        <f>SUM(AJ23:AJ24)</f>
        <v>63023951.729999989</v>
      </c>
      <c r="AK25" s="36"/>
      <c r="AL25" s="7"/>
      <c r="AM25" s="36"/>
      <c r="AN25" s="7"/>
      <c r="AO25" s="36"/>
      <c r="AP25" s="36"/>
      <c r="AQ25" s="7"/>
      <c r="AR25" s="7"/>
      <c r="AS25" s="7"/>
      <c r="AT25" s="36"/>
      <c r="AU25" s="36"/>
      <c r="AV25" s="7"/>
      <c r="AW25" s="36"/>
      <c r="AX25" s="36"/>
      <c r="AY25" s="7"/>
      <c r="AZ25" s="36"/>
      <c r="BA25" s="36"/>
      <c r="BB25" s="7"/>
      <c r="BC25" s="36"/>
      <c r="BD25" s="7"/>
      <c r="BE25" s="36"/>
      <c r="BF25" s="7"/>
      <c r="BG25" s="36"/>
      <c r="BH25" s="7"/>
      <c r="BI25" s="36"/>
      <c r="BJ25" s="7"/>
      <c r="BK25" s="36"/>
      <c r="BL25" s="7"/>
      <c r="BM25" s="36"/>
      <c r="BN25" s="7"/>
      <c r="BO25" s="36"/>
      <c r="BP25" s="14"/>
      <c r="BQ25" s="14"/>
      <c r="BR25" s="7"/>
      <c r="BS25" s="7"/>
      <c r="BT25" s="7"/>
      <c r="BU25" s="15"/>
      <c r="BV25" s="15"/>
      <c r="BW25" s="291"/>
      <c r="BX25" s="291"/>
      <c r="BY25" s="33"/>
      <c r="BZ25" s="36"/>
      <c r="CA25" s="308"/>
    </row>
    <row r="26" spans="1:79" s="1" customFormat="1" ht="17.100000000000001" customHeight="1" x14ac:dyDescent="0.25">
      <c r="A26" s="12"/>
      <c r="B26" s="24"/>
      <c r="C26" s="24"/>
      <c r="D26" s="24"/>
      <c r="E26" s="3"/>
      <c r="F26" s="9"/>
      <c r="G26" s="10"/>
      <c r="H26" s="3"/>
      <c r="I26" s="3"/>
      <c r="J26" s="3"/>
      <c r="K26" s="3"/>
      <c r="L26" s="3"/>
      <c r="M26" s="11"/>
      <c r="N26" s="11"/>
      <c r="O26" s="11"/>
      <c r="P26" s="3"/>
      <c r="Q26" s="12"/>
      <c r="R26" s="12"/>
      <c r="S26" s="12"/>
      <c r="T26" s="12"/>
      <c r="U26" s="12"/>
      <c r="V26" s="25"/>
      <c r="W26" s="34"/>
      <c r="X26" s="24"/>
      <c r="Y26" s="110"/>
      <c r="Z26" s="36"/>
      <c r="AA26" s="36"/>
      <c r="AB26" s="7"/>
      <c r="AC26" s="33"/>
      <c r="AD26" s="33"/>
      <c r="AE26" s="33"/>
      <c r="AF26" s="7"/>
      <c r="AG26" s="33"/>
      <c r="AH26" s="312"/>
      <c r="AI26" s="312"/>
      <c r="AJ26" s="312"/>
      <c r="AK26" s="36"/>
      <c r="AL26" s="7"/>
      <c r="AM26" s="36"/>
      <c r="AN26" s="7"/>
      <c r="AO26" s="36"/>
      <c r="AP26" s="36"/>
      <c r="AQ26" s="7"/>
      <c r="AR26" s="7"/>
      <c r="AS26" s="7"/>
      <c r="AT26" s="36"/>
      <c r="AU26" s="36"/>
      <c r="AV26" s="7"/>
      <c r="AW26" s="36"/>
      <c r="AX26" s="36"/>
      <c r="AY26" s="7"/>
      <c r="AZ26" s="36"/>
      <c r="BA26" s="36"/>
      <c r="BB26" s="7"/>
      <c r="BC26" s="36"/>
      <c r="BD26" s="7"/>
      <c r="BE26" s="36"/>
      <c r="BF26" s="7"/>
      <c r="BG26" s="36"/>
      <c r="BH26" s="7"/>
      <c r="BI26" s="36"/>
      <c r="BJ26" s="7"/>
      <c r="BK26" s="36"/>
      <c r="BL26" s="7"/>
      <c r="BM26" s="36"/>
      <c r="BN26" s="7"/>
      <c r="BO26" s="36"/>
      <c r="BP26" s="14"/>
      <c r="BQ26" s="14"/>
      <c r="BR26" s="7"/>
      <c r="BS26" s="7"/>
      <c r="BT26" s="7"/>
      <c r="BU26" s="15"/>
      <c r="BV26" s="15"/>
      <c r="BW26" s="291"/>
      <c r="BX26" s="291"/>
      <c r="BY26" s="33"/>
      <c r="BZ26" s="36"/>
      <c r="CA26" s="308"/>
    </row>
    <row r="27" spans="1:79" s="1" customFormat="1" ht="15" customHeight="1" x14ac:dyDescent="0.25">
      <c r="A27" s="12" t="s">
        <v>7</v>
      </c>
      <c r="B27" s="24" t="s">
        <v>62</v>
      </c>
      <c r="C27" s="24" t="s">
        <v>227</v>
      </c>
      <c r="D27" s="24" t="s">
        <v>13</v>
      </c>
      <c r="E27" s="3">
        <v>255005</v>
      </c>
      <c r="F27" s="9"/>
      <c r="G27" s="10"/>
      <c r="H27" s="3"/>
      <c r="I27" s="3"/>
      <c r="J27" s="3"/>
      <c r="K27" s="3"/>
      <c r="L27" s="3"/>
      <c r="M27" s="11"/>
      <c r="N27" s="11"/>
      <c r="O27" s="11"/>
      <c r="P27" s="3"/>
      <c r="Q27" s="12"/>
      <c r="R27" s="12"/>
      <c r="S27" s="12"/>
      <c r="T27" s="12"/>
      <c r="U27" s="12"/>
      <c r="V27" s="25"/>
      <c r="W27" s="34"/>
      <c r="X27" s="24" t="s">
        <v>464</v>
      </c>
      <c r="Y27" s="110" t="s">
        <v>460</v>
      </c>
      <c r="Z27" s="36"/>
      <c r="AA27" s="36"/>
      <c r="AB27" s="7"/>
      <c r="AC27" s="33"/>
      <c r="AD27" s="33"/>
      <c r="AE27" s="33"/>
      <c r="AF27" s="7"/>
      <c r="AG27" s="33"/>
      <c r="AH27" s="36">
        <v>50000</v>
      </c>
      <c r="AI27" s="36">
        <v>200000</v>
      </c>
      <c r="AJ27" s="33">
        <v>36000000</v>
      </c>
      <c r="AK27" s="36"/>
      <c r="AL27" s="7"/>
      <c r="AM27" s="36"/>
      <c r="AN27" s="7"/>
      <c r="AO27" s="36"/>
      <c r="AP27" s="36"/>
      <c r="AQ27" s="7"/>
      <c r="AR27" s="7"/>
      <c r="AS27" s="7"/>
      <c r="AT27" s="36"/>
      <c r="AU27" s="36"/>
      <c r="AV27" s="7"/>
      <c r="AW27" s="36"/>
      <c r="AX27" s="36"/>
      <c r="AY27" s="7"/>
      <c r="AZ27" s="36"/>
      <c r="BA27" s="36"/>
      <c r="BB27" s="7"/>
      <c r="BC27" s="36"/>
      <c r="BD27" s="7"/>
      <c r="BE27" s="36"/>
      <c r="BF27" s="7"/>
      <c r="BG27" s="36"/>
      <c r="BH27" s="7"/>
      <c r="BI27" s="36"/>
      <c r="BJ27" s="7"/>
      <c r="BK27" s="36"/>
      <c r="BL27" s="7"/>
      <c r="BM27" s="36"/>
      <c r="BN27" s="7"/>
      <c r="BO27" s="36"/>
      <c r="BP27" s="14"/>
      <c r="BQ27" s="14"/>
      <c r="BR27" s="7"/>
      <c r="BS27" s="7"/>
      <c r="BT27" s="7"/>
      <c r="BU27" s="15"/>
      <c r="BV27" s="15"/>
      <c r="BW27" s="291"/>
      <c r="BX27" s="291"/>
      <c r="BY27" s="33"/>
      <c r="BZ27" s="36"/>
      <c r="CA27" s="308"/>
    </row>
    <row r="28" spans="1:79" s="1" customFormat="1" ht="15" customHeight="1" x14ac:dyDescent="0.2">
      <c r="A28" s="12" t="s">
        <v>7</v>
      </c>
      <c r="B28" s="24" t="s">
        <v>62</v>
      </c>
      <c r="C28" s="24" t="s">
        <v>227</v>
      </c>
      <c r="D28" s="24" t="s">
        <v>13</v>
      </c>
      <c r="E28" s="3">
        <v>255005</v>
      </c>
      <c r="F28" s="9" t="s">
        <v>13</v>
      </c>
      <c r="G28" s="10" t="s">
        <v>13</v>
      </c>
      <c r="H28" s="3">
        <v>4</v>
      </c>
      <c r="I28" s="3">
        <v>36</v>
      </c>
      <c r="J28" s="3">
        <v>1409</v>
      </c>
      <c r="K28" s="3" t="s">
        <v>186</v>
      </c>
      <c r="L28" s="3" t="s">
        <v>189</v>
      </c>
      <c r="M28" s="11" t="s">
        <v>187</v>
      </c>
      <c r="N28" s="11" t="s">
        <v>187</v>
      </c>
      <c r="O28" s="11" t="s">
        <v>193</v>
      </c>
      <c r="P28" s="3" t="s">
        <v>188</v>
      </c>
      <c r="Q28" s="12" t="s">
        <v>110</v>
      </c>
      <c r="R28" s="12" t="s">
        <v>222</v>
      </c>
      <c r="S28" s="12"/>
      <c r="T28" s="12" t="s">
        <v>36</v>
      </c>
      <c r="U28" s="12" t="s">
        <v>13</v>
      </c>
      <c r="V28" s="25" t="s">
        <v>69</v>
      </c>
      <c r="W28" s="111">
        <v>24</v>
      </c>
      <c r="X28" s="24" t="s">
        <v>155</v>
      </c>
      <c r="Y28" s="110" t="s">
        <v>37</v>
      </c>
      <c r="Z28" s="33">
        <v>200000</v>
      </c>
      <c r="AA28" s="33"/>
      <c r="AB28" s="7">
        <f>Z28+AA28</f>
        <v>200000</v>
      </c>
      <c r="AC28" s="33">
        <v>300000</v>
      </c>
      <c r="AD28" s="33">
        <f>AB28+AC28</f>
        <v>500000</v>
      </c>
      <c r="AE28" s="33"/>
      <c r="AF28" s="7">
        <f>+AD28+AE28</f>
        <v>500000</v>
      </c>
      <c r="AG28" s="33"/>
      <c r="AH28" s="33">
        <v>500000</v>
      </c>
      <c r="AI28" s="33">
        <v>1600000</v>
      </c>
      <c r="AJ28" s="33">
        <v>1600000</v>
      </c>
      <c r="AK28" s="33"/>
      <c r="AL28" s="7">
        <f>AK28</f>
        <v>0</v>
      </c>
      <c r="AM28" s="33"/>
      <c r="AN28" s="7">
        <f>AM28</f>
        <v>0</v>
      </c>
      <c r="AO28" s="33"/>
      <c r="AP28" s="33">
        <v>0</v>
      </c>
      <c r="AQ28" s="7">
        <f>AO28+AP28</f>
        <v>0</v>
      </c>
      <c r="AR28" s="7">
        <f>AK28+AM28+AO28</f>
        <v>0</v>
      </c>
      <c r="AS28" s="7">
        <f>AL28+AN28+AQ28</f>
        <v>0</v>
      </c>
      <c r="AT28" s="33"/>
      <c r="AU28" s="33"/>
      <c r="AV28" s="7">
        <f>AT28+AU28</f>
        <v>0</v>
      </c>
      <c r="AW28" s="33"/>
      <c r="AX28" s="33"/>
      <c r="AY28" s="7">
        <f>AW28+AX28</f>
        <v>0</v>
      </c>
      <c r="AZ28" s="33"/>
      <c r="BA28" s="33"/>
      <c r="BB28" s="7">
        <f>AZ28+BA28</f>
        <v>0</v>
      </c>
      <c r="BC28" s="33"/>
      <c r="BD28" s="7">
        <f>BC28</f>
        <v>0</v>
      </c>
      <c r="BE28" s="33"/>
      <c r="BF28" s="7">
        <f>BE28</f>
        <v>0</v>
      </c>
      <c r="BG28" s="33"/>
      <c r="BH28" s="7">
        <f>BG28</f>
        <v>0</v>
      </c>
      <c r="BI28" s="33"/>
      <c r="BJ28" s="7">
        <f>BI28</f>
        <v>0</v>
      </c>
      <c r="BK28" s="33"/>
      <c r="BL28" s="7">
        <f>BK28</f>
        <v>0</v>
      </c>
      <c r="BM28" s="33"/>
      <c r="BN28" s="7">
        <f>BM28</f>
        <v>0</v>
      </c>
      <c r="BO28" s="33">
        <v>175438.6</v>
      </c>
      <c r="BP28" s="14">
        <f>AK28+AM28+AO28+AT28+AW28+AZ28+BC28+BE28+BG28+BI28+BK28+BM28</f>
        <v>0</v>
      </c>
      <c r="BQ28" s="14">
        <f>AL28+AN28+AQ28+AV28+AY28+BB28</f>
        <v>0</v>
      </c>
      <c r="BR28" s="7"/>
      <c r="BS28" s="7">
        <f>AD28-BP28</f>
        <v>500000</v>
      </c>
      <c r="BT28" s="7">
        <f>AD28-BQ28</f>
        <v>500000</v>
      </c>
      <c r="BU28" s="15">
        <f>BP28/AD28</f>
        <v>0</v>
      </c>
      <c r="BV28" s="15">
        <f>BQ28/AD28</f>
        <v>0</v>
      </c>
      <c r="BW28" s="33">
        <v>10000000</v>
      </c>
      <c r="BX28" s="33"/>
      <c r="BY28" s="33"/>
      <c r="BZ28" s="36"/>
    </row>
    <row r="29" spans="1:79" s="1" customFormat="1" ht="15" customHeight="1" x14ac:dyDescent="0.2">
      <c r="A29" s="12" t="s">
        <v>7</v>
      </c>
      <c r="B29" s="24" t="s">
        <v>62</v>
      </c>
      <c r="C29" s="24" t="s">
        <v>227</v>
      </c>
      <c r="D29" s="24" t="s">
        <v>13</v>
      </c>
      <c r="E29" s="3">
        <v>255005</v>
      </c>
      <c r="F29" s="9" t="s">
        <v>13</v>
      </c>
      <c r="G29" s="10" t="s">
        <v>13</v>
      </c>
      <c r="H29" s="3">
        <v>4</v>
      </c>
      <c r="I29" s="3">
        <v>36</v>
      </c>
      <c r="J29" s="3">
        <v>1410</v>
      </c>
      <c r="K29" s="3" t="s">
        <v>186</v>
      </c>
      <c r="L29" s="3" t="s">
        <v>189</v>
      </c>
      <c r="M29" s="11" t="s">
        <v>187</v>
      </c>
      <c r="N29" s="11" t="s">
        <v>187</v>
      </c>
      <c r="O29" s="11" t="s">
        <v>193</v>
      </c>
      <c r="P29" s="3" t="s">
        <v>188</v>
      </c>
      <c r="Q29" s="12" t="s">
        <v>110</v>
      </c>
      <c r="R29" s="12" t="s">
        <v>222</v>
      </c>
      <c r="S29" s="12"/>
      <c r="T29" s="12" t="s">
        <v>36</v>
      </c>
      <c r="U29" s="12" t="s">
        <v>13</v>
      </c>
      <c r="V29" s="25" t="s">
        <v>69</v>
      </c>
      <c r="W29" s="111">
        <v>24</v>
      </c>
      <c r="X29" s="24" t="s">
        <v>156</v>
      </c>
      <c r="Y29" s="110" t="s">
        <v>37</v>
      </c>
      <c r="Z29" s="33">
        <v>200000</v>
      </c>
      <c r="AA29" s="33"/>
      <c r="AB29" s="7">
        <f>Z29+AA29</f>
        <v>200000</v>
      </c>
      <c r="AC29" s="33">
        <v>300000</v>
      </c>
      <c r="AD29" s="33">
        <f>AB29+AC29</f>
        <v>500000</v>
      </c>
      <c r="AE29" s="33"/>
      <c r="AF29" s="7">
        <f>+AD29+AE29</f>
        <v>500000</v>
      </c>
      <c r="AG29" s="33"/>
      <c r="AH29" s="33">
        <v>500000</v>
      </c>
      <c r="AI29" s="33">
        <v>2000000</v>
      </c>
      <c r="AJ29" s="33">
        <v>2000000</v>
      </c>
      <c r="AK29" s="33"/>
      <c r="AL29" s="7">
        <f>AK29</f>
        <v>0</v>
      </c>
      <c r="AM29" s="33"/>
      <c r="AN29" s="7">
        <f>AM29</f>
        <v>0</v>
      </c>
      <c r="AO29" s="33"/>
      <c r="AP29" s="33">
        <v>0</v>
      </c>
      <c r="AQ29" s="7">
        <f>AO29+AP29</f>
        <v>0</v>
      </c>
      <c r="AR29" s="7">
        <f>AK29+AM29+AO29</f>
        <v>0</v>
      </c>
      <c r="AS29" s="7">
        <f>AL29+AN29+AQ29</f>
        <v>0</v>
      </c>
      <c r="AT29" s="33"/>
      <c r="AU29" s="33"/>
      <c r="AV29" s="7">
        <f>AT29+AU29</f>
        <v>0</v>
      </c>
      <c r="AW29" s="33"/>
      <c r="AX29" s="33"/>
      <c r="AY29" s="7">
        <f>AW29+AX29</f>
        <v>0</v>
      </c>
      <c r="AZ29" s="33"/>
      <c r="BA29" s="33"/>
      <c r="BB29" s="7">
        <f>AZ29+BA29</f>
        <v>0</v>
      </c>
      <c r="BC29" s="33"/>
      <c r="BD29" s="7">
        <f>BC29</f>
        <v>0</v>
      </c>
      <c r="BE29" s="33"/>
      <c r="BF29" s="7">
        <f>BE29</f>
        <v>0</v>
      </c>
      <c r="BG29" s="33"/>
      <c r="BH29" s="7">
        <f>BG29</f>
        <v>0</v>
      </c>
      <c r="BI29" s="33"/>
      <c r="BJ29" s="7">
        <f>BI29</f>
        <v>0</v>
      </c>
      <c r="BK29" s="33"/>
      <c r="BL29" s="7">
        <f>BK29</f>
        <v>0</v>
      </c>
      <c r="BM29" s="33"/>
      <c r="BN29" s="7">
        <f>BM29</f>
        <v>0</v>
      </c>
      <c r="BO29" s="33"/>
      <c r="BP29" s="14">
        <f>AK29+AM29+AO29+AT29+AW29+AZ29+BC29+BE29+BG29+BI29+BK29+BM29</f>
        <v>0</v>
      </c>
      <c r="BQ29" s="14">
        <f>AL29+AN29+AQ29+AV29+AY29+BB29</f>
        <v>0</v>
      </c>
      <c r="BR29" s="7"/>
      <c r="BS29" s="7">
        <f>AD29-BP29</f>
        <v>500000</v>
      </c>
      <c r="BT29" s="7">
        <f>AD29-BQ29</f>
        <v>500000</v>
      </c>
      <c r="BU29" s="15">
        <f>BP29/AD29</f>
        <v>0</v>
      </c>
      <c r="BV29" s="15">
        <f>BQ29/AD29</f>
        <v>0</v>
      </c>
      <c r="BW29" s="33">
        <v>10000000</v>
      </c>
      <c r="BX29" s="33"/>
      <c r="BY29" s="33"/>
      <c r="BZ29" s="36"/>
    </row>
    <row r="30" spans="1:79" s="1" customFormat="1" ht="15" customHeight="1" x14ac:dyDescent="0.2">
      <c r="A30" s="12" t="s">
        <v>7</v>
      </c>
      <c r="B30" s="24" t="s">
        <v>62</v>
      </c>
      <c r="C30" s="24" t="s">
        <v>227</v>
      </c>
      <c r="D30" s="24" t="s">
        <v>13</v>
      </c>
      <c r="E30" s="3">
        <v>255005</v>
      </c>
      <c r="F30" s="9" t="s">
        <v>13</v>
      </c>
      <c r="G30" s="10" t="s">
        <v>13</v>
      </c>
      <c r="H30" s="3">
        <v>4</v>
      </c>
      <c r="I30" s="3">
        <v>36</v>
      </c>
      <c r="J30" s="3">
        <v>1411</v>
      </c>
      <c r="K30" s="3" t="s">
        <v>186</v>
      </c>
      <c r="L30" s="3" t="s">
        <v>189</v>
      </c>
      <c r="M30" s="11" t="s">
        <v>187</v>
      </c>
      <c r="N30" s="11" t="s">
        <v>187</v>
      </c>
      <c r="O30" s="11" t="s">
        <v>193</v>
      </c>
      <c r="P30" s="3" t="s">
        <v>188</v>
      </c>
      <c r="Q30" s="12" t="s">
        <v>110</v>
      </c>
      <c r="R30" s="12" t="s">
        <v>222</v>
      </c>
      <c r="S30" s="12"/>
      <c r="T30" s="12" t="s">
        <v>36</v>
      </c>
      <c r="U30" s="12" t="s">
        <v>13</v>
      </c>
      <c r="V30" s="25" t="s">
        <v>69</v>
      </c>
      <c r="W30" s="111">
        <v>23</v>
      </c>
      <c r="X30" s="24" t="s">
        <v>157</v>
      </c>
      <c r="Y30" s="110" t="s">
        <v>37</v>
      </c>
      <c r="Z30" s="33">
        <v>200000</v>
      </c>
      <c r="AA30" s="33"/>
      <c r="AB30" s="7">
        <f>Z30+AA30</f>
        <v>200000</v>
      </c>
      <c r="AC30" s="33">
        <v>300000</v>
      </c>
      <c r="AD30" s="33">
        <f>AB30+AC30</f>
        <v>500000</v>
      </c>
      <c r="AE30" s="33"/>
      <c r="AF30" s="7">
        <f>+AD30+AE30</f>
        <v>500000</v>
      </c>
      <c r="AG30" s="33"/>
      <c r="AH30" s="33">
        <v>500000</v>
      </c>
      <c r="AI30" s="33">
        <v>2000000</v>
      </c>
      <c r="AJ30" s="33">
        <v>2000000</v>
      </c>
      <c r="AK30" s="33"/>
      <c r="AL30" s="7">
        <f>AK30</f>
        <v>0</v>
      </c>
      <c r="AM30" s="33"/>
      <c r="AN30" s="7">
        <f>AM30</f>
        <v>0</v>
      </c>
      <c r="AO30" s="33"/>
      <c r="AP30" s="33">
        <v>0</v>
      </c>
      <c r="AQ30" s="7">
        <f>AO30+AP30</f>
        <v>0</v>
      </c>
      <c r="AR30" s="7">
        <f>AK30+AM30+AO30</f>
        <v>0</v>
      </c>
      <c r="AS30" s="7">
        <f>AL30+AN30+AQ30</f>
        <v>0</v>
      </c>
      <c r="AT30" s="33"/>
      <c r="AU30" s="33"/>
      <c r="AV30" s="7">
        <f>AT30+AU30</f>
        <v>0</v>
      </c>
      <c r="AW30" s="33"/>
      <c r="AX30" s="33"/>
      <c r="AY30" s="7">
        <f>AW30+AX30</f>
        <v>0</v>
      </c>
      <c r="AZ30" s="33"/>
      <c r="BA30" s="33"/>
      <c r="BB30" s="7">
        <f>AZ30+BA30</f>
        <v>0</v>
      </c>
      <c r="BC30" s="33"/>
      <c r="BD30" s="7">
        <f>BC30</f>
        <v>0</v>
      </c>
      <c r="BE30" s="33"/>
      <c r="BF30" s="7">
        <f>BE30</f>
        <v>0</v>
      </c>
      <c r="BG30" s="33"/>
      <c r="BH30" s="7">
        <f>BG30</f>
        <v>0</v>
      </c>
      <c r="BI30" s="33"/>
      <c r="BJ30" s="7">
        <f>BI30</f>
        <v>0</v>
      </c>
      <c r="BK30" s="33"/>
      <c r="BL30" s="7">
        <f>BK30</f>
        <v>0</v>
      </c>
      <c r="BM30" s="33"/>
      <c r="BN30" s="7">
        <f>BM30</f>
        <v>0</v>
      </c>
      <c r="BO30" s="33"/>
      <c r="BP30" s="14">
        <f>AK30+AM30+AO30+AT30+AW30+AZ30+BC30+BE30+BG30+BI30+BK30+BM30</f>
        <v>0</v>
      </c>
      <c r="BQ30" s="14">
        <f>AL30+AN30+AQ30+AV30+AY30+BB30</f>
        <v>0</v>
      </c>
      <c r="BR30" s="7"/>
      <c r="BS30" s="7">
        <f>AD30-BP30</f>
        <v>500000</v>
      </c>
      <c r="BT30" s="7">
        <f>AD30-BQ30</f>
        <v>500000</v>
      </c>
      <c r="BU30" s="15">
        <f>BP30/AD30</f>
        <v>0</v>
      </c>
      <c r="BV30" s="15">
        <f>BQ30/AD30</f>
        <v>0</v>
      </c>
      <c r="BW30" s="33">
        <v>10000000</v>
      </c>
      <c r="BX30" s="33"/>
      <c r="BY30" s="33"/>
      <c r="BZ30" s="36"/>
    </row>
    <row r="31" spans="1:79" s="1" customFormat="1" ht="15" customHeight="1" x14ac:dyDescent="0.2">
      <c r="A31" s="12" t="s">
        <v>7</v>
      </c>
      <c r="B31" s="24" t="s">
        <v>62</v>
      </c>
      <c r="C31" s="24" t="s">
        <v>227</v>
      </c>
      <c r="D31" s="24" t="s">
        <v>13</v>
      </c>
      <c r="E31" s="3">
        <v>255005</v>
      </c>
      <c r="F31" s="9" t="s">
        <v>13</v>
      </c>
      <c r="G31" s="10" t="s">
        <v>13</v>
      </c>
      <c r="H31" s="3">
        <v>4</v>
      </c>
      <c r="I31" s="3">
        <v>36</v>
      </c>
      <c r="J31" s="3">
        <v>1412</v>
      </c>
      <c r="K31" s="3" t="s">
        <v>186</v>
      </c>
      <c r="L31" s="3" t="s">
        <v>189</v>
      </c>
      <c r="M31" s="11" t="s">
        <v>187</v>
      </c>
      <c r="N31" s="11" t="s">
        <v>187</v>
      </c>
      <c r="O31" s="11" t="s">
        <v>193</v>
      </c>
      <c r="P31" s="3" t="s">
        <v>188</v>
      </c>
      <c r="Q31" s="12" t="s">
        <v>110</v>
      </c>
      <c r="R31" s="12" t="s">
        <v>222</v>
      </c>
      <c r="S31" s="12"/>
      <c r="T31" s="12" t="s">
        <v>36</v>
      </c>
      <c r="U31" s="12" t="s">
        <v>13</v>
      </c>
      <c r="V31" s="25" t="s">
        <v>69</v>
      </c>
      <c r="W31" s="111">
        <v>24</v>
      </c>
      <c r="X31" s="24" t="s">
        <v>158</v>
      </c>
      <c r="Y31" s="110" t="s">
        <v>37</v>
      </c>
      <c r="Z31" s="33">
        <v>200000</v>
      </c>
      <c r="AA31" s="33"/>
      <c r="AB31" s="7">
        <f>Z31+AA31</f>
        <v>200000</v>
      </c>
      <c r="AC31" s="33">
        <v>300000</v>
      </c>
      <c r="AD31" s="33">
        <f>AB31+AC31</f>
        <v>500000</v>
      </c>
      <c r="AE31" s="33"/>
      <c r="AF31" s="7">
        <f>+AD31+AE31</f>
        <v>500000</v>
      </c>
      <c r="AG31" s="33"/>
      <c r="AH31" s="33">
        <v>500000</v>
      </c>
      <c r="AI31" s="33">
        <v>2300000</v>
      </c>
      <c r="AJ31" s="33">
        <v>2300000</v>
      </c>
      <c r="AK31" s="33"/>
      <c r="AL31" s="7">
        <f>AK31</f>
        <v>0</v>
      </c>
      <c r="AM31" s="33"/>
      <c r="AN31" s="7">
        <f>AM31</f>
        <v>0</v>
      </c>
      <c r="AO31" s="33"/>
      <c r="AP31" s="33">
        <v>0</v>
      </c>
      <c r="AQ31" s="7">
        <f>AO31+AP31</f>
        <v>0</v>
      </c>
      <c r="AR31" s="7">
        <f>AK31+AM31+AO31</f>
        <v>0</v>
      </c>
      <c r="AS31" s="7">
        <f>AL31+AN31+AQ31</f>
        <v>0</v>
      </c>
      <c r="AT31" s="33"/>
      <c r="AU31" s="33"/>
      <c r="AV31" s="7">
        <f>AT31+AU31</f>
        <v>0</v>
      </c>
      <c r="AW31" s="33"/>
      <c r="AX31" s="33"/>
      <c r="AY31" s="7">
        <f>AW31+AX31</f>
        <v>0</v>
      </c>
      <c r="AZ31" s="33"/>
      <c r="BA31" s="33"/>
      <c r="BB31" s="7">
        <f>AZ31+BA31</f>
        <v>0</v>
      </c>
      <c r="BC31" s="33"/>
      <c r="BD31" s="7">
        <f>BC31</f>
        <v>0</v>
      </c>
      <c r="BE31" s="33"/>
      <c r="BF31" s="7">
        <f>BE31</f>
        <v>0</v>
      </c>
      <c r="BG31" s="33"/>
      <c r="BH31" s="7">
        <f>BG31</f>
        <v>0</v>
      </c>
      <c r="BI31" s="33"/>
      <c r="BJ31" s="7">
        <f>BI31</f>
        <v>0</v>
      </c>
      <c r="BK31" s="33"/>
      <c r="BL31" s="7">
        <f>BK31</f>
        <v>0</v>
      </c>
      <c r="BM31" s="33"/>
      <c r="BN31" s="7">
        <f>BM31</f>
        <v>0</v>
      </c>
      <c r="BO31" s="33"/>
      <c r="BP31" s="14">
        <f>AK31+AM31+AO31+AT31+AW31+AZ31+BC31+BE31+BG31+BI31+BK31+BM31</f>
        <v>0</v>
      </c>
      <c r="BQ31" s="14">
        <f>AL31+AN31+AQ31+AV31+AY31+BB31</f>
        <v>0</v>
      </c>
      <c r="BR31" s="7"/>
      <c r="BS31" s="7">
        <f>AD31-BP31</f>
        <v>500000</v>
      </c>
      <c r="BT31" s="7">
        <f>AD31-BQ31</f>
        <v>500000</v>
      </c>
      <c r="BU31" s="15">
        <f>BP31/AD31</f>
        <v>0</v>
      </c>
      <c r="BV31" s="15">
        <f>BQ31/AD31</f>
        <v>0</v>
      </c>
      <c r="BW31" s="33">
        <v>10000000</v>
      </c>
      <c r="BX31" s="33"/>
      <c r="BY31" s="33"/>
      <c r="BZ31" s="36"/>
    </row>
    <row r="32" spans="1:79" s="1" customFormat="1" ht="15" customHeight="1" x14ac:dyDescent="0.2">
      <c r="A32" s="12" t="s">
        <v>7</v>
      </c>
      <c r="B32" s="24" t="s">
        <v>62</v>
      </c>
      <c r="C32" s="24" t="s">
        <v>227</v>
      </c>
      <c r="D32" s="24" t="s">
        <v>13</v>
      </c>
      <c r="E32" s="3">
        <v>255005</v>
      </c>
      <c r="F32" s="9"/>
      <c r="G32" s="10"/>
      <c r="H32" s="3"/>
      <c r="I32" s="3"/>
      <c r="J32" s="3"/>
      <c r="K32" s="11"/>
      <c r="L32" s="11"/>
      <c r="M32" s="11"/>
      <c r="N32" s="11"/>
      <c r="O32" s="11"/>
      <c r="P32" s="11"/>
      <c r="Q32" s="12"/>
      <c r="R32" s="12"/>
      <c r="S32" s="12"/>
      <c r="T32" s="12"/>
      <c r="U32" s="12"/>
      <c r="V32" s="13"/>
      <c r="W32" s="34"/>
      <c r="X32" s="24" t="s">
        <v>475</v>
      </c>
      <c r="Y32" s="110" t="s">
        <v>460</v>
      </c>
      <c r="Z32" s="33"/>
      <c r="AA32" s="33"/>
      <c r="AB32" s="7"/>
      <c r="AC32" s="33"/>
      <c r="AD32" s="33"/>
      <c r="AE32" s="33"/>
      <c r="AF32" s="7"/>
      <c r="AG32" s="33"/>
      <c r="AH32" s="33">
        <v>500000</v>
      </c>
      <c r="AI32" s="33">
        <v>500000</v>
      </c>
      <c r="AJ32" s="33">
        <v>10000000</v>
      </c>
      <c r="AK32" s="33"/>
      <c r="AL32" s="7"/>
      <c r="AM32" s="33"/>
      <c r="AN32" s="7"/>
      <c r="AO32" s="33"/>
      <c r="AP32" s="33"/>
      <c r="AQ32" s="7"/>
      <c r="AR32" s="7"/>
      <c r="AS32" s="7"/>
      <c r="AT32" s="33"/>
      <c r="AU32" s="33"/>
      <c r="AV32" s="7"/>
      <c r="AW32" s="33"/>
      <c r="AX32" s="33"/>
      <c r="AY32" s="7"/>
      <c r="AZ32" s="33"/>
      <c r="BA32" s="33"/>
      <c r="BB32" s="7"/>
      <c r="BC32" s="33"/>
      <c r="BD32" s="7"/>
      <c r="BE32" s="33"/>
      <c r="BF32" s="7"/>
      <c r="BG32" s="33"/>
      <c r="BH32" s="7"/>
      <c r="BI32" s="33"/>
      <c r="BJ32" s="7"/>
      <c r="BK32" s="33"/>
      <c r="BL32" s="7"/>
      <c r="BM32" s="33"/>
      <c r="BN32" s="7"/>
      <c r="BO32" s="33"/>
      <c r="BP32" s="14"/>
      <c r="BQ32" s="14"/>
      <c r="BR32" s="7"/>
      <c r="BS32" s="7"/>
      <c r="BT32" s="7"/>
      <c r="BU32" s="15"/>
      <c r="BV32" s="15"/>
      <c r="BW32" s="291"/>
      <c r="BX32" s="291"/>
      <c r="BY32" s="33"/>
      <c r="BZ32" s="36"/>
    </row>
    <row r="33" spans="1:78" s="1" customFormat="1" ht="15" customHeight="1" x14ac:dyDescent="0.2">
      <c r="A33" s="12" t="s">
        <v>7</v>
      </c>
      <c r="B33" s="24" t="s">
        <v>62</v>
      </c>
      <c r="C33" s="24" t="s">
        <v>227</v>
      </c>
      <c r="D33" s="24" t="s">
        <v>13</v>
      </c>
      <c r="E33" s="3">
        <v>255005</v>
      </c>
      <c r="F33" s="9"/>
      <c r="G33" s="10"/>
      <c r="H33" s="3"/>
      <c r="I33" s="3"/>
      <c r="J33" s="3"/>
      <c r="K33" s="11"/>
      <c r="L33" s="11"/>
      <c r="M33" s="11"/>
      <c r="N33" s="11"/>
      <c r="O33" s="11"/>
      <c r="P33" s="11"/>
      <c r="Q33" s="12"/>
      <c r="R33" s="12"/>
      <c r="S33" s="12"/>
      <c r="T33" s="12"/>
      <c r="U33" s="12"/>
      <c r="V33" s="13"/>
      <c r="W33" s="34"/>
      <c r="X33" s="24" t="s">
        <v>476</v>
      </c>
      <c r="Y33" s="110" t="s">
        <v>460</v>
      </c>
      <c r="Z33" s="33"/>
      <c r="AA33" s="33"/>
      <c r="AB33" s="7"/>
      <c r="AC33" s="33"/>
      <c r="AD33" s="33"/>
      <c r="AE33" s="33"/>
      <c r="AF33" s="7"/>
      <c r="AG33" s="33"/>
      <c r="AH33" s="33">
        <v>500000</v>
      </c>
      <c r="AI33" s="33">
        <v>500000</v>
      </c>
      <c r="AJ33" s="33">
        <v>10000000</v>
      </c>
      <c r="AK33" s="33"/>
      <c r="AL33" s="7"/>
      <c r="AM33" s="33"/>
      <c r="AN33" s="7"/>
      <c r="AO33" s="33"/>
      <c r="AP33" s="33"/>
      <c r="AQ33" s="7"/>
      <c r="AR33" s="7"/>
      <c r="AS33" s="7"/>
      <c r="AT33" s="33"/>
      <c r="AU33" s="33"/>
      <c r="AV33" s="7"/>
      <c r="AW33" s="33"/>
      <c r="AX33" s="33"/>
      <c r="AY33" s="7"/>
      <c r="AZ33" s="33"/>
      <c r="BA33" s="33"/>
      <c r="BB33" s="7"/>
      <c r="BC33" s="33"/>
      <c r="BD33" s="7"/>
      <c r="BE33" s="33"/>
      <c r="BF33" s="7"/>
      <c r="BG33" s="33"/>
      <c r="BH33" s="7"/>
      <c r="BI33" s="33"/>
      <c r="BJ33" s="7"/>
      <c r="BK33" s="33"/>
      <c r="BL33" s="7"/>
      <c r="BM33" s="33"/>
      <c r="BN33" s="7"/>
      <c r="BO33" s="33"/>
      <c r="BP33" s="14"/>
      <c r="BQ33" s="14"/>
      <c r="BR33" s="7"/>
      <c r="BS33" s="7"/>
      <c r="BT33" s="7"/>
      <c r="BU33" s="15"/>
      <c r="BV33" s="15"/>
      <c r="BW33" s="291"/>
      <c r="BX33" s="291"/>
      <c r="BY33" s="33"/>
      <c r="BZ33" s="36"/>
    </row>
    <row r="34" spans="1:78" s="1" customFormat="1" ht="15" customHeight="1" x14ac:dyDescent="0.2">
      <c r="A34" s="12" t="s">
        <v>7</v>
      </c>
      <c r="B34" s="24" t="s">
        <v>62</v>
      </c>
      <c r="C34" s="24" t="s">
        <v>227</v>
      </c>
      <c r="D34" s="24" t="s">
        <v>13</v>
      </c>
      <c r="E34" s="3">
        <v>255005</v>
      </c>
      <c r="F34" s="9"/>
      <c r="G34" s="10"/>
      <c r="H34" s="3"/>
      <c r="I34" s="3"/>
      <c r="J34" s="3"/>
      <c r="K34" s="11"/>
      <c r="L34" s="11"/>
      <c r="M34" s="11"/>
      <c r="N34" s="11"/>
      <c r="O34" s="11"/>
      <c r="P34" s="11"/>
      <c r="Q34" s="12"/>
      <c r="R34" s="12"/>
      <c r="S34" s="12"/>
      <c r="T34" s="12"/>
      <c r="U34" s="12"/>
      <c r="V34" s="13"/>
      <c r="W34" s="34"/>
      <c r="X34" s="24" t="s">
        <v>477</v>
      </c>
      <c r="Y34" s="110" t="s">
        <v>460</v>
      </c>
      <c r="Z34" s="33"/>
      <c r="AA34" s="33"/>
      <c r="AB34" s="7"/>
      <c r="AC34" s="33"/>
      <c r="AD34" s="33"/>
      <c r="AE34" s="33"/>
      <c r="AF34" s="7"/>
      <c r="AG34" s="33"/>
      <c r="AH34" s="33">
        <v>500000</v>
      </c>
      <c r="AI34" s="33">
        <v>500000</v>
      </c>
      <c r="AJ34" s="33">
        <v>10000000</v>
      </c>
      <c r="AK34" s="33"/>
      <c r="AL34" s="7"/>
      <c r="AM34" s="33"/>
      <c r="AN34" s="7"/>
      <c r="AO34" s="33"/>
      <c r="AP34" s="33"/>
      <c r="AQ34" s="7"/>
      <c r="AR34" s="7"/>
      <c r="AS34" s="7"/>
      <c r="AT34" s="33"/>
      <c r="AU34" s="33"/>
      <c r="AV34" s="7"/>
      <c r="AW34" s="33"/>
      <c r="AX34" s="33"/>
      <c r="AY34" s="7"/>
      <c r="AZ34" s="33"/>
      <c r="BA34" s="33"/>
      <c r="BB34" s="7"/>
      <c r="BC34" s="33"/>
      <c r="BD34" s="7"/>
      <c r="BE34" s="33"/>
      <c r="BF34" s="7"/>
      <c r="BG34" s="33"/>
      <c r="BH34" s="7"/>
      <c r="BI34" s="33"/>
      <c r="BJ34" s="7"/>
      <c r="BK34" s="33"/>
      <c r="BL34" s="7"/>
      <c r="BM34" s="33"/>
      <c r="BN34" s="7"/>
      <c r="BO34" s="33"/>
      <c r="BP34" s="14"/>
      <c r="BQ34" s="14"/>
      <c r="BR34" s="7"/>
      <c r="BS34" s="7"/>
      <c r="BT34" s="7"/>
      <c r="BU34" s="15"/>
      <c r="BV34" s="15"/>
      <c r="BW34" s="291"/>
      <c r="BX34" s="291"/>
      <c r="BY34" s="33"/>
      <c r="BZ34" s="36"/>
    </row>
    <row r="35" spans="1:78" s="1" customFormat="1" ht="17.100000000000001" customHeight="1" thickBot="1" x14ac:dyDescent="0.3">
      <c r="A35" s="12"/>
      <c r="B35" s="24"/>
      <c r="C35" s="24"/>
      <c r="D35" s="24"/>
      <c r="E35" s="3"/>
      <c r="F35" s="9"/>
      <c r="G35" s="10"/>
      <c r="H35" s="3"/>
      <c r="I35" s="3"/>
      <c r="J35" s="3"/>
      <c r="K35" s="11"/>
      <c r="L35" s="11"/>
      <c r="M35" s="11"/>
      <c r="N35" s="11"/>
      <c r="O35" s="11"/>
      <c r="P35" s="11"/>
      <c r="Q35" s="12"/>
      <c r="R35" s="12"/>
      <c r="S35" s="12"/>
      <c r="T35" s="12"/>
      <c r="U35" s="12"/>
      <c r="V35" s="13"/>
      <c r="W35" s="34"/>
      <c r="X35" s="24"/>
      <c r="Y35" s="110"/>
      <c r="Z35" s="33"/>
      <c r="AA35" s="33"/>
      <c r="AB35" s="7"/>
      <c r="AC35" s="33"/>
      <c r="AD35" s="33"/>
      <c r="AE35" s="33"/>
      <c r="AF35" s="7"/>
      <c r="AG35" s="33"/>
      <c r="AH35" s="315">
        <f>SUM(AH27:AH34)</f>
        <v>3550000</v>
      </c>
      <c r="AI35" s="315">
        <f>SUM(AI27:AI34)</f>
        <v>9600000</v>
      </c>
      <c r="AJ35" s="315">
        <f>SUM(AJ27:AJ34)</f>
        <v>73900000</v>
      </c>
      <c r="AK35" s="33"/>
      <c r="AL35" s="7"/>
      <c r="AM35" s="33"/>
      <c r="AN35" s="7"/>
      <c r="AO35" s="33"/>
      <c r="AP35" s="33"/>
      <c r="AQ35" s="7"/>
      <c r="AR35" s="7"/>
      <c r="AS35" s="7"/>
      <c r="AT35" s="33"/>
      <c r="AU35" s="33"/>
      <c r="AV35" s="7"/>
      <c r="AW35" s="33"/>
      <c r="AX35" s="33"/>
      <c r="AY35" s="7"/>
      <c r="AZ35" s="33"/>
      <c r="BA35" s="33"/>
      <c r="BB35" s="7"/>
      <c r="BC35" s="33"/>
      <c r="BD35" s="7"/>
      <c r="BE35" s="33"/>
      <c r="BF35" s="7"/>
      <c r="BG35" s="33"/>
      <c r="BH35" s="7"/>
      <c r="BI35" s="33"/>
      <c r="BJ35" s="7"/>
      <c r="BK35" s="33"/>
      <c r="BL35" s="7"/>
      <c r="BM35" s="33"/>
      <c r="BN35" s="7"/>
      <c r="BO35" s="33"/>
      <c r="BP35" s="14"/>
      <c r="BQ35" s="14"/>
      <c r="BR35" s="7"/>
      <c r="BS35" s="7"/>
      <c r="BT35" s="7"/>
      <c r="BU35" s="15"/>
      <c r="BV35" s="15"/>
      <c r="BW35" s="291"/>
      <c r="BX35" s="291"/>
      <c r="BY35" s="33"/>
      <c r="BZ35" s="36"/>
    </row>
    <row r="36" spans="1:78" s="1" customFormat="1" ht="15" customHeight="1" x14ac:dyDescent="0.2">
      <c r="A36" s="12" t="s">
        <v>7</v>
      </c>
      <c r="B36" s="24" t="s">
        <v>62</v>
      </c>
      <c r="C36" s="24" t="s">
        <v>227</v>
      </c>
      <c r="D36" s="24" t="s">
        <v>13</v>
      </c>
      <c r="E36" s="3">
        <v>255005</v>
      </c>
      <c r="F36" s="9" t="s">
        <v>13</v>
      </c>
      <c r="G36" s="10" t="s">
        <v>13</v>
      </c>
      <c r="H36" s="3">
        <v>4</v>
      </c>
      <c r="I36" s="3">
        <v>36</v>
      </c>
      <c r="J36" s="3">
        <v>1414</v>
      </c>
      <c r="K36" s="3" t="s">
        <v>186</v>
      </c>
      <c r="L36" s="3" t="s">
        <v>189</v>
      </c>
      <c r="M36" s="11" t="s">
        <v>187</v>
      </c>
      <c r="N36" s="11" t="s">
        <v>187</v>
      </c>
      <c r="O36" s="11" t="s">
        <v>193</v>
      </c>
      <c r="P36" s="3" t="s">
        <v>188</v>
      </c>
      <c r="Q36" s="12" t="s">
        <v>110</v>
      </c>
      <c r="R36" s="12" t="s">
        <v>222</v>
      </c>
      <c r="S36" s="12"/>
      <c r="T36" s="12" t="s">
        <v>36</v>
      </c>
      <c r="U36" s="12" t="s">
        <v>13</v>
      </c>
      <c r="V36" s="25" t="s">
        <v>69</v>
      </c>
      <c r="W36" s="34">
        <v>36</v>
      </c>
      <c r="X36" s="24" t="s">
        <v>166</v>
      </c>
      <c r="Y36" s="110" t="s">
        <v>37</v>
      </c>
      <c r="Z36" s="33">
        <v>2500000</v>
      </c>
      <c r="AA36" s="33"/>
      <c r="AB36" s="7">
        <f>Z36+AA36</f>
        <v>2500000</v>
      </c>
      <c r="AC36" s="33">
        <v>-2300000</v>
      </c>
      <c r="AD36" s="33">
        <f>AB36+AC36</f>
        <v>200000</v>
      </c>
      <c r="AE36" s="33"/>
      <c r="AF36" s="7">
        <f>+AD36+AE36</f>
        <v>200000</v>
      </c>
      <c r="AG36" s="33"/>
      <c r="AH36" s="33">
        <v>200000</v>
      </c>
      <c r="AI36" s="33">
        <v>0</v>
      </c>
      <c r="AJ36" s="33"/>
      <c r="AK36" s="33"/>
      <c r="AL36" s="7">
        <f>AK36</f>
        <v>0</v>
      </c>
      <c r="AM36" s="33"/>
      <c r="AN36" s="7">
        <f>AM36</f>
        <v>0</v>
      </c>
      <c r="AO36" s="33"/>
      <c r="AP36" s="33">
        <v>0</v>
      </c>
      <c r="AQ36" s="7">
        <f>AO36+AP36</f>
        <v>0</v>
      </c>
      <c r="AR36" s="7">
        <f>AK36+AM36+AO36</f>
        <v>0</v>
      </c>
      <c r="AS36" s="7">
        <f>AL36+AN36+AQ36</f>
        <v>0</v>
      </c>
      <c r="AT36" s="33"/>
      <c r="AU36" s="33"/>
      <c r="AV36" s="7">
        <f>AT36+AU36</f>
        <v>0</v>
      </c>
      <c r="AW36" s="33"/>
      <c r="AX36" s="33"/>
      <c r="AY36" s="7">
        <f>AW36+AX36</f>
        <v>0</v>
      </c>
      <c r="AZ36" s="33"/>
      <c r="BA36" s="33"/>
      <c r="BB36" s="7">
        <f>AZ36+BA36</f>
        <v>0</v>
      </c>
      <c r="BC36" s="33"/>
      <c r="BD36" s="7">
        <f>BC36</f>
        <v>0</v>
      </c>
      <c r="BE36" s="33"/>
      <c r="BF36" s="7">
        <f>BE36</f>
        <v>0</v>
      </c>
      <c r="BG36" s="33"/>
      <c r="BH36" s="7">
        <f>BG36</f>
        <v>0</v>
      </c>
      <c r="BI36" s="33"/>
      <c r="BJ36" s="7">
        <f>BI36</f>
        <v>0</v>
      </c>
      <c r="BK36" s="33"/>
      <c r="BL36" s="7">
        <f>BK36</f>
        <v>0</v>
      </c>
      <c r="BM36" s="33"/>
      <c r="BN36" s="7">
        <f>BM36</f>
        <v>0</v>
      </c>
      <c r="BO36" s="33">
        <v>169290</v>
      </c>
      <c r="BP36" s="14">
        <f>AK36+AM36+AO36+AT36+AW36+AZ36+BC36+BE36+BG36+BI36+BK36+BM36</f>
        <v>0</v>
      </c>
      <c r="BQ36" s="14">
        <f>AL36+AN36+AQ36+AV36+AY36+BB36</f>
        <v>0</v>
      </c>
      <c r="BR36" s="7"/>
      <c r="BS36" s="7">
        <f>AD36-BP36</f>
        <v>200000</v>
      </c>
      <c r="BT36" s="7">
        <f>AD36-BQ36</f>
        <v>200000</v>
      </c>
      <c r="BU36" s="15">
        <f>BP36/AD36</f>
        <v>0</v>
      </c>
      <c r="BV36" s="15">
        <f>BQ36/AD36</f>
        <v>0</v>
      </c>
      <c r="BW36" s="33"/>
      <c r="BX36" s="33"/>
      <c r="BY36" s="33"/>
      <c r="BZ36" s="36"/>
    </row>
    <row r="37" spans="1:78" s="1" customFormat="1" ht="15" customHeight="1" x14ac:dyDescent="0.2">
      <c r="A37" s="12" t="s">
        <v>7</v>
      </c>
      <c r="B37" s="24" t="s">
        <v>62</v>
      </c>
      <c r="C37" s="24" t="s">
        <v>227</v>
      </c>
      <c r="D37" s="24" t="s">
        <v>13</v>
      </c>
      <c r="E37" s="3">
        <v>255005</v>
      </c>
      <c r="F37" s="9"/>
      <c r="G37" s="10"/>
      <c r="H37" s="3"/>
      <c r="I37" s="3"/>
      <c r="J37" s="3"/>
      <c r="K37" s="3"/>
      <c r="L37" s="3"/>
      <c r="M37" s="11"/>
      <c r="N37" s="11"/>
      <c r="O37" s="11"/>
      <c r="P37" s="3"/>
      <c r="Q37" s="12"/>
      <c r="R37" s="12"/>
      <c r="S37" s="12"/>
      <c r="T37" s="12"/>
      <c r="U37" s="12"/>
      <c r="V37" s="25"/>
      <c r="W37" s="34"/>
      <c r="X37" s="24" t="s">
        <v>478</v>
      </c>
      <c r="Y37" s="110" t="s">
        <v>460</v>
      </c>
      <c r="Z37" s="33"/>
      <c r="AA37" s="33"/>
      <c r="AB37" s="7"/>
      <c r="AC37" s="33"/>
      <c r="AD37" s="33"/>
      <c r="AE37" s="33"/>
      <c r="AF37" s="7"/>
      <c r="AG37" s="33"/>
      <c r="AH37" s="33">
        <v>7100000</v>
      </c>
      <c r="AI37" s="33">
        <v>0</v>
      </c>
      <c r="AJ37" s="33">
        <v>0</v>
      </c>
      <c r="AK37" s="33"/>
      <c r="AL37" s="7"/>
      <c r="AM37" s="33"/>
      <c r="AN37" s="7"/>
      <c r="AO37" s="33"/>
      <c r="AP37" s="33"/>
      <c r="AQ37" s="7"/>
      <c r="AR37" s="7"/>
      <c r="AS37" s="7"/>
      <c r="AT37" s="33"/>
      <c r="AU37" s="33"/>
      <c r="AV37" s="7"/>
      <c r="AW37" s="33"/>
      <c r="AX37" s="33"/>
      <c r="AY37" s="7"/>
      <c r="AZ37" s="33"/>
      <c r="BA37" s="33"/>
      <c r="BB37" s="7"/>
      <c r="BC37" s="33"/>
      <c r="BD37" s="7"/>
      <c r="BE37" s="33"/>
      <c r="BF37" s="7"/>
      <c r="BG37" s="33"/>
      <c r="BH37" s="7"/>
      <c r="BI37" s="33"/>
      <c r="BJ37" s="7"/>
      <c r="BK37" s="33"/>
      <c r="BL37" s="7"/>
      <c r="BM37" s="33"/>
      <c r="BN37" s="7"/>
      <c r="BO37" s="33"/>
      <c r="BP37" s="14"/>
      <c r="BQ37" s="14"/>
      <c r="BR37" s="7"/>
      <c r="BS37" s="7"/>
      <c r="BT37" s="7"/>
      <c r="BU37" s="15"/>
      <c r="BV37" s="15"/>
      <c r="BW37" s="33"/>
      <c r="BX37" s="33"/>
      <c r="BY37" s="33"/>
      <c r="BZ37" s="36"/>
    </row>
    <row r="38" spans="1:78" s="1" customFormat="1" ht="15" customHeight="1" x14ac:dyDescent="0.2">
      <c r="A38" s="12" t="s">
        <v>7</v>
      </c>
      <c r="B38" s="24" t="s">
        <v>62</v>
      </c>
      <c r="C38" s="24" t="s">
        <v>227</v>
      </c>
      <c r="D38" s="24" t="s">
        <v>13</v>
      </c>
      <c r="E38" s="3">
        <v>255005</v>
      </c>
      <c r="F38" s="9"/>
      <c r="G38" s="10"/>
      <c r="H38" s="3"/>
      <c r="I38" s="3"/>
      <c r="J38" s="3"/>
      <c r="K38" s="3"/>
      <c r="L38" s="3"/>
      <c r="M38" s="11"/>
      <c r="N38" s="11"/>
      <c r="O38" s="11"/>
      <c r="P38" s="3"/>
      <c r="Q38" s="12"/>
      <c r="R38" s="12"/>
      <c r="S38" s="12"/>
      <c r="T38" s="12"/>
      <c r="U38" s="12"/>
      <c r="V38" s="25"/>
      <c r="W38" s="34"/>
      <c r="X38" s="24" t="s">
        <v>479</v>
      </c>
      <c r="Y38" s="110" t="s">
        <v>460</v>
      </c>
      <c r="Z38" s="33"/>
      <c r="AA38" s="33"/>
      <c r="AB38" s="7"/>
      <c r="AC38" s="33"/>
      <c r="AD38" s="33"/>
      <c r="AE38" s="33"/>
      <c r="AF38" s="7"/>
      <c r="AG38" s="33"/>
      <c r="AH38" s="33">
        <v>500000</v>
      </c>
      <c r="AI38" s="33">
        <v>500000</v>
      </c>
      <c r="AJ38" s="33">
        <v>0</v>
      </c>
      <c r="AK38" s="33"/>
      <c r="AL38" s="7"/>
      <c r="AM38" s="33"/>
      <c r="AN38" s="7"/>
      <c r="AO38" s="33"/>
      <c r="AP38" s="33"/>
      <c r="AQ38" s="7"/>
      <c r="AR38" s="7"/>
      <c r="AS38" s="7"/>
      <c r="AT38" s="33"/>
      <c r="AU38" s="33"/>
      <c r="AV38" s="7"/>
      <c r="AW38" s="33"/>
      <c r="AX38" s="33"/>
      <c r="AY38" s="7"/>
      <c r="AZ38" s="33"/>
      <c r="BA38" s="33"/>
      <c r="BB38" s="7"/>
      <c r="BC38" s="33"/>
      <c r="BD38" s="7"/>
      <c r="BE38" s="33"/>
      <c r="BF38" s="7"/>
      <c r="BG38" s="33"/>
      <c r="BH38" s="7"/>
      <c r="BI38" s="33"/>
      <c r="BJ38" s="7"/>
      <c r="BK38" s="33"/>
      <c r="BL38" s="7"/>
      <c r="BM38" s="33"/>
      <c r="BN38" s="7"/>
      <c r="BO38" s="33"/>
      <c r="BP38" s="14"/>
      <c r="BQ38" s="14"/>
      <c r="BR38" s="7"/>
      <c r="BS38" s="7"/>
      <c r="BT38" s="7"/>
      <c r="BU38" s="15"/>
      <c r="BV38" s="15"/>
      <c r="BW38" s="33"/>
      <c r="BX38" s="33"/>
      <c r="BY38" s="33"/>
      <c r="BZ38" s="36"/>
    </row>
    <row r="39" spans="1:78" s="1" customFormat="1" ht="17.100000000000001" customHeight="1" thickBot="1" x14ac:dyDescent="0.3">
      <c r="A39" s="12"/>
      <c r="B39" s="24"/>
      <c r="C39" s="24"/>
      <c r="D39" s="24"/>
      <c r="E39" s="3"/>
      <c r="F39" s="9"/>
      <c r="G39" s="10"/>
      <c r="H39" s="3"/>
      <c r="I39" s="3"/>
      <c r="J39" s="3"/>
      <c r="K39" s="3"/>
      <c r="L39" s="3"/>
      <c r="M39" s="11"/>
      <c r="N39" s="11"/>
      <c r="O39" s="11"/>
      <c r="P39" s="3"/>
      <c r="Q39" s="12"/>
      <c r="R39" s="12"/>
      <c r="S39" s="12"/>
      <c r="T39" s="12"/>
      <c r="U39" s="12"/>
      <c r="V39" s="25"/>
      <c r="W39" s="34"/>
      <c r="X39" s="24"/>
      <c r="Y39" s="110"/>
      <c r="Z39" s="33"/>
      <c r="AA39" s="33"/>
      <c r="AB39" s="7"/>
      <c r="AC39" s="33"/>
      <c r="AD39" s="33"/>
      <c r="AE39" s="33"/>
      <c r="AF39" s="7"/>
      <c r="AG39" s="33"/>
      <c r="AH39" s="315">
        <f>SUM(AH36:AH38)</f>
        <v>7800000</v>
      </c>
      <c r="AI39" s="315">
        <f>SUM(AI36:AI38)</f>
        <v>500000</v>
      </c>
      <c r="AJ39" s="315">
        <f>SUM(AJ36:AJ38)</f>
        <v>0</v>
      </c>
      <c r="AK39" s="33"/>
      <c r="AL39" s="7"/>
      <c r="AM39" s="33"/>
      <c r="AN39" s="7"/>
      <c r="AO39" s="33"/>
      <c r="AP39" s="33"/>
      <c r="AQ39" s="7"/>
      <c r="AR39" s="7"/>
      <c r="AS39" s="7"/>
      <c r="AT39" s="33"/>
      <c r="AU39" s="33"/>
      <c r="AV39" s="7"/>
      <c r="AW39" s="33"/>
      <c r="AX39" s="33"/>
      <c r="AY39" s="7"/>
      <c r="AZ39" s="33"/>
      <c r="BA39" s="33"/>
      <c r="BB39" s="7"/>
      <c r="BC39" s="33"/>
      <c r="BD39" s="7"/>
      <c r="BE39" s="33"/>
      <c r="BF39" s="7"/>
      <c r="BG39" s="33"/>
      <c r="BH39" s="7"/>
      <c r="BI39" s="33"/>
      <c r="BJ39" s="7"/>
      <c r="BK39" s="33"/>
      <c r="BL39" s="7"/>
      <c r="BM39" s="33"/>
      <c r="BN39" s="7"/>
      <c r="BO39" s="33"/>
      <c r="BP39" s="14"/>
      <c r="BQ39" s="14"/>
      <c r="BR39" s="7"/>
      <c r="BS39" s="7"/>
      <c r="BT39" s="7"/>
      <c r="BU39" s="15"/>
      <c r="BV39" s="15"/>
      <c r="BW39" s="33"/>
      <c r="BX39" s="33"/>
      <c r="BY39" s="33"/>
      <c r="BZ39" s="36"/>
    </row>
    <row r="40" spans="1:78" s="1" customFormat="1" ht="15" customHeight="1" x14ac:dyDescent="0.2">
      <c r="A40" s="12"/>
      <c r="B40" s="24"/>
      <c r="C40" s="24"/>
      <c r="D40" s="24"/>
      <c r="E40" s="3"/>
      <c r="F40" s="9"/>
      <c r="G40" s="10"/>
      <c r="H40" s="3"/>
      <c r="I40" s="3"/>
      <c r="J40" s="3"/>
      <c r="K40" s="3"/>
      <c r="L40" s="3"/>
      <c r="M40" s="11"/>
      <c r="N40" s="11"/>
      <c r="O40" s="11"/>
      <c r="P40" s="3"/>
      <c r="Q40" s="12"/>
      <c r="R40" s="12"/>
      <c r="S40" s="12"/>
      <c r="T40" s="12"/>
      <c r="U40" s="12"/>
      <c r="V40" s="25"/>
      <c r="W40" s="34"/>
      <c r="X40" s="24"/>
      <c r="Y40" s="110"/>
      <c r="Z40" s="33"/>
      <c r="AA40" s="33"/>
      <c r="AB40" s="7"/>
      <c r="AC40" s="33"/>
      <c r="AD40" s="33"/>
      <c r="AE40" s="33"/>
      <c r="AF40" s="7"/>
      <c r="AG40" s="33"/>
      <c r="AH40" s="33"/>
      <c r="AI40" s="33"/>
      <c r="AJ40" s="33"/>
      <c r="AK40" s="33"/>
      <c r="AL40" s="7"/>
      <c r="AM40" s="33"/>
      <c r="AN40" s="7"/>
      <c r="AO40" s="33"/>
      <c r="AP40" s="33"/>
      <c r="AQ40" s="7"/>
      <c r="AR40" s="7"/>
      <c r="AS40" s="7"/>
      <c r="AT40" s="33"/>
      <c r="AU40" s="33"/>
      <c r="AV40" s="7"/>
      <c r="AW40" s="33"/>
      <c r="AX40" s="33"/>
      <c r="AY40" s="7"/>
      <c r="AZ40" s="33"/>
      <c r="BA40" s="33"/>
      <c r="BB40" s="7"/>
      <c r="BC40" s="33"/>
      <c r="BD40" s="7"/>
      <c r="BE40" s="33"/>
      <c r="BF40" s="7"/>
      <c r="BG40" s="33"/>
      <c r="BH40" s="7"/>
      <c r="BI40" s="33"/>
      <c r="BJ40" s="7"/>
      <c r="BK40" s="33"/>
      <c r="BL40" s="7"/>
      <c r="BM40" s="33"/>
      <c r="BN40" s="7"/>
      <c r="BO40" s="33"/>
      <c r="BP40" s="14"/>
      <c r="BQ40" s="14"/>
      <c r="BR40" s="7"/>
      <c r="BS40" s="7"/>
      <c r="BT40" s="7"/>
      <c r="BU40" s="15"/>
      <c r="BV40" s="15"/>
      <c r="BW40" s="33"/>
      <c r="BX40" s="33"/>
      <c r="BY40" s="33"/>
      <c r="BZ40" s="36"/>
    </row>
    <row r="41" spans="1:78" s="1" customFormat="1" ht="15" customHeight="1" x14ac:dyDescent="0.25">
      <c r="A41" s="12" t="s">
        <v>7</v>
      </c>
      <c r="B41" s="24" t="s">
        <v>62</v>
      </c>
      <c r="C41" s="24" t="s">
        <v>227</v>
      </c>
      <c r="D41" s="24" t="s">
        <v>13</v>
      </c>
      <c r="E41" s="3">
        <v>255005</v>
      </c>
      <c r="F41" s="9" t="s">
        <v>13</v>
      </c>
      <c r="G41" s="10" t="s">
        <v>13</v>
      </c>
      <c r="H41" s="3">
        <v>4</v>
      </c>
      <c r="I41" s="3">
        <v>36</v>
      </c>
      <c r="J41" s="3">
        <v>1416</v>
      </c>
      <c r="K41" s="3" t="s">
        <v>186</v>
      </c>
      <c r="L41" s="3" t="s">
        <v>189</v>
      </c>
      <c r="M41" s="11" t="s">
        <v>187</v>
      </c>
      <c r="N41" s="11" t="s">
        <v>187</v>
      </c>
      <c r="O41" s="11" t="s">
        <v>193</v>
      </c>
      <c r="P41" s="3" t="s">
        <v>188</v>
      </c>
      <c r="Q41" s="12" t="s">
        <v>110</v>
      </c>
      <c r="R41" s="12" t="s">
        <v>222</v>
      </c>
      <c r="S41" s="12"/>
      <c r="T41" s="12" t="s">
        <v>36</v>
      </c>
      <c r="U41" s="12" t="s">
        <v>13</v>
      </c>
      <c r="V41" s="25" t="s">
        <v>69</v>
      </c>
      <c r="W41" s="34">
        <v>36</v>
      </c>
      <c r="X41" s="24" t="s">
        <v>201</v>
      </c>
      <c r="Y41" s="110" t="s">
        <v>37</v>
      </c>
      <c r="Z41" s="33">
        <v>500000</v>
      </c>
      <c r="AA41" s="33"/>
      <c r="AB41" s="7">
        <f>Z41+AA41</f>
        <v>500000</v>
      </c>
      <c r="AC41" s="33">
        <v>-500000</v>
      </c>
      <c r="AD41" s="33">
        <f>AB41+AC41</f>
        <v>0</v>
      </c>
      <c r="AE41" s="33"/>
      <c r="AF41" s="7">
        <f>+AD41+AE41</f>
        <v>0</v>
      </c>
      <c r="AG41" s="33"/>
      <c r="AH41" s="313">
        <v>1000000</v>
      </c>
      <c r="AI41" s="313">
        <v>200000</v>
      </c>
      <c r="AJ41" s="313">
        <v>200000</v>
      </c>
      <c r="AK41" s="33"/>
      <c r="AL41" s="7">
        <f>AK41</f>
        <v>0</v>
      </c>
      <c r="AM41" s="33"/>
      <c r="AN41" s="7">
        <f>AM41</f>
        <v>0</v>
      </c>
      <c r="AO41" s="33"/>
      <c r="AP41" s="33">
        <v>0</v>
      </c>
      <c r="AQ41" s="7">
        <f>AO41+AP41</f>
        <v>0</v>
      </c>
      <c r="AR41" s="7">
        <f>AK41+AM41+AO41</f>
        <v>0</v>
      </c>
      <c r="AS41" s="7">
        <f>AL41+AN41+AQ41</f>
        <v>0</v>
      </c>
      <c r="AT41" s="33"/>
      <c r="AU41" s="33"/>
      <c r="AV41" s="7">
        <f>AT41+AU41</f>
        <v>0</v>
      </c>
      <c r="AW41" s="33"/>
      <c r="AX41" s="33"/>
      <c r="AY41" s="7">
        <f>AW41+AX41</f>
        <v>0</v>
      </c>
      <c r="AZ41" s="33"/>
      <c r="BA41" s="33"/>
      <c r="BB41" s="7">
        <f>AZ41+BA41</f>
        <v>0</v>
      </c>
      <c r="BC41" s="33"/>
      <c r="BD41" s="7">
        <f>BC41</f>
        <v>0</v>
      </c>
      <c r="BE41" s="33"/>
      <c r="BF41" s="7">
        <f>BE41</f>
        <v>0</v>
      </c>
      <c r="BG41" s="33"/>
      <c r="BH41" s="7">
        <f>BG41</f>
        <v>0</v>
      </c>
      <c r="BI41" s="33"/>
      <c r="BJ41" s="7">
        <f>BI41</f>
        <v>0</v>
      </c>
      <c r="BK41" s="33"/>
      <c r="BL41" s="7">
        <f>BK41</f>
        <v>0</v>
      </c>
      <c r="BM41" s="33"/>
      <c r="BN41" s="7">
        <f>BM41</f>
        <v>0</v>
      </c>
      <c r="BO41" s="33"/>
      <c r="BP41" s="14">
        <f>AK41+AM41+AO41+AT41+AW41+AZ41+BC41+BE41+BG41+BI41+BK41+BM41</f>
        <v>0</v>
      </c>
      <c r="BQ41" s="14">
        <f>AL41+AN41+AQ41+AV41+AY41+BB41</f>
        <v>0</v>
      </c>
      <c r="BR41" s="7"/>
      <c r="BS41" s="7">
        <f>AD41-BP41</f>
        <v>0</v>
      </c>
      <c r="BT41" s="7">
        <f>AD41-BQ41</f>
        <v>0</v>
      </c>
      <c r="BU41" s="15" t="e">
        <f>BP41/AD41</f>
        <v>#DIV/0!</v>
      </c>
      <c r="BV41" s="15" t="e">
        <f>BQ41/AD41</f>
        <v>#DIV/0!</v>
      </c>
      <c r="BW41" s="33"/>
      <c r="BX41" s="33"/>
      <c r="BY41" s="33"/>
      <c r="BZ41" s="36"/>
    </row>
    <row r="42" spans="1:78" s="1" customFormat="1" ht="15" customHeight="1" x14ac:dyDescent="0.2">
      <c r="A42" s="12"/>
      <c r="B42" s="24"/>
      <c r="C42" s="24"/>
      <c r="D42" s="24"/>
      <c r="E42" s="3"/>
      <c r="F42" s="9"/>
      <c r="G42" s="10"/>
      <c r="H42" s="3"/>
      <c r="I42" s="3"/>
      <c r="J42" s="3"/>
      <c r="K42" s="3"/>
      <c r="L42" s="3"/>
      <c r="M42" s="11"/>
      <c r="N42" s="11"/>
      <c r="O42" s="11"/>
      <c r="P42" s="3"/>
      <c r="Q42" s="12"/>
      <c r="R42" s="12"/>
      <c r="S42" s="12"/>
      <c r="T42" s="12"/>
      <c r="U42" s="12"/>
      <c r="V42" s="25"/>
      <c r="W42" s="34"/>
      <c r="X42" s="24"/>
      <c r="Y42" s="110"/>
      <c r="Z42" s="33"/>
      <c r="AA42" s="33"/>
      <c r="AB42" s="7"/>
      <c r="AC42" s="33"/>
      <c r="AD42" s="33"/>
      <c r="AE42" s="33"/>
      <c r="AF42" s="7"/>
      <c r="AG42" s="33"/>
      <c r="AH42" s="33"/>
      <c r="AI42" s="33"/>
      <c r="AJ42" s="33"/>
      <c r="AK42" s="33"/>
      <c r="AL42" s="7"/>
      <c r="AM42" s="33"/>
      <c r="AN42" s="7"/>
      <c r="AO42" s="33"/>
      <c r="AP42" s="33"/>
      <c r="AQ42" s="7"/>
      <c r="AR42" s="7"/>
      <c r="AS42" s="7"/>
      <c r="AT42" s="33"/>
      <c r="AU42" s="33"/>
      <c r="AV42" s="7"/>
      <c r="AW42" s="33"/>
      <c r="AX42" s="33"/>
      <c r="AY42" s="7"/>
      <c r="AZ42" s="33"/>
      <c r="BA42" s="33"/>
      <c r="BB42" s="7"/>
      <c r="BC42" s="33"/>
      <c r="BD42" s="7"/>
      <c r="BE42" s="33"/>
      <c r="BF42" s="7"/>
      <c r="BG42" s="33"/>
      <c r="BH42" s="7"/>
      <c r="BI42" s="33"/>
      <c r="BJ42" s="7"/>
      <c r="BK42" s="33"/>
      <c r="BL42" s="7"/>
      <c r="BM42" s="33"/>
      <c r="BN42" s="7"/>
      <c r="BO42" s="33"/>
      <c r="BP42" s="14"/>
      <c r="BQ42" s="14"/>
      <c r="BR42" s="7"/>
      <c r="BS42" s="7"/>
      <c r="BT42" s="7"/>
      <c r="BU42" s="15"/>
      <c r="BV42" s="15"/>
      <c r="BW42" s="33"/>
      <c r="BX42" s="33"/>
      <c r="BY42" s="33"/>
      <c r="BZ42" s="36"/>
    </row>
    <row r="43" spans="1:78" s="1" customFormat="1" ht="15" customHeight="1" x14ac:dyDescent="0.2">
      <c r="A43" s="12" t="s">
        <v>7</v>
      </c>
      <c r="B43" s="24" t="s">
        <v>62</v>
      </c>
      <c r="C43" s="24" t="s">
        <v>227</v>
      </c>
      <c r="D43" s="24" t="s">
        <v>13</v>
      </c>
      <c r="E43" s="3">
        <v>255005</v>
      </c>
      <c r="F43" s="9" t="s">
        <v>13</v>
      </c>
      <c r="G43" s="10" t="s">
        <v>13</v>
      </c>
      <c r="H43" s="3">
        <v>4</v>
      </c>
      <c r="I43" s="3">
        <v>36</v>
      </c>
      <c r="J43" s="3">
        <v>1415</v>
      </c>
      <c r="K43" s="3" t="s">
        <v>186</v>
      </c>
      <c r="L43" s="3" t="s">
        <v>189</v>
      </c>
      <c r="M43" s="11" t="s">
        <v>187</v>
      </c>
      <c r="N43" s="11" t="s">
        <v>187</v>
      </c>
      <c r="O43" s="11" t="s">
        <v>193</v>
      </c>
      <c r="P43" s="3" t="s">
        <v>188</v>
      </c>
      <c r="Q43" s="12" t="s">
        <v>110</v>
      </c>
      <c r="R43" s="12" t="s">
        <v>222</v>
      </c>
      <c r="S43" s="12"/>
      <c r="T43" s="12" t="s">
        <v>36</v>
      </c>
      <c r="U43" s="12" t="s">
        <v>13</v>
      </c>
      <c r="V43" s="25" t="s">
        <v>69</v>
      </c>
      <c r="W43" s="34">
        <v>45</v>
      </c>
      <c r="X43" s="118" t="s">
        <v>130</v>
      </c>
      <c r="Y43" s="110" t="s">
        <v>37</v>
      </c>
      <c r="Z43" s="33">
        <v>700000</v>
      </c>
      <c r="AA43" s="33"/>
      <c r="AB43" s="7">
        <f>Z43+AA43</f>
        <v>700000</v>
      </c>
      <c r="AC43" s="33"/>
      <c r="AD43" s="33">
        <f>AB43+AC43</f>
        <v>700000</v>
      </c>
      <c r="AE43" s="33"/>
      <c r="AF43" s="7">
        <f>+AD43+AE43</f>
        <v>700000</v>
      </c>
      <c r="AG43" s="33"/>
      <c r="AH43" s="33">
        <v>1500000</v>
      </c>
      <c r="AI43" s="33">
        <v>1000000</v>
      </c>
      <c r="AJ43" s="33">
        <v>1000000</v>
      </c>
      <c r="AK43" s="33"/>
      <c r="AL43" s="7">
        <f>AK43</f>
        <v>0</v>
      </c>
      <c r="AM43" s="33"/>
      <c r="AN43" s="7">
        <f>AM43</f>
        <v>0</v>
      </c>
      <c r="AO43" s="33"/>
      <c r="AP43" s="33">
        <v>0</v>
      </c>
      <c r="AQ43" s="7">
        <f>AO43+AP43</f>
        <v>0</v>
      </c>
      <c r="AR43" s="7">
        <f>AK43+AM43+AO43</f>
        <v>0</v>
      </c>
      <c r="AS43" s="7">
        <f>AL43+AN43+AQ43</f>
        <v>0</v>
      </c>
      <c r="AT43" s="33"/>
      <c r="AU43" s="33"/>
      <c r="AV43" s="7">
        <f>AT43+AU43</f>
        <v>0</v>
      </c>
      <c r="AW43" s="33"/>
      <c r="AX43" s="33"/>
      <c r="AY43" s="7">
        <f>AW43+AX43</f>
        <v>0</v>
      </c>
      <c r="AZ43" s="33"/>
      <c r="BA43" s="33"/>
      <c r="BB43" s="7">
        <f>AZ43+BA43</f>
        <v>0</v>
      </c>
      <c r="BC43" s="33"/>
      <c r="BD43" s="7">
        <f>BC43</f>
        <v>0</v>
      </c>
      <c r="BE43" s="33"/>
      <c r="BF43" s="7">
        <f>BE43</f>
        <v>0</v>
      </c>
      <c r="BG43" s="33"/>
      <c r="BH43" s="7">
        <f>BG43</f>
        <v>0</v>
      </c>
      <c r="BI43" s="33"/>
      <c r="BJ43" s="7">
        <f>BI43</f>
        <v>0</v>
      </c>
      <c r="BK43" s="33"/>
      <c r="BL43" s="7">
        <f>BK43</f>
        <v>0</v>
      </c>
      <c r="BM43" s="33"/>
      <c r="BN43" s="7">
        <f>BM43</f>
        <v>0</v>
      </c>
      <c r="BO43" s="33"/>
      <c r="BP43" s="14">
        <f>AK43+AM43+AO43+AT43+AW43+AZ43+BC43+BE43+BG43+BI43+BK43+BM43</f>
        <v>0</v>
      </c>
      <c r="BQ43" s="14">
        <f>AL43+AN43+AQ43+AV43+AY43+BB43</f>
        <v>0</v>
      </c>
      <c r="BR43" s="7"/>
      <c r="BS43" s="7">
        <f>AD43-BP43</f>
        <v>700000</v>
      </c>
      <c r="BT43" s="7">
        <f>AD43-BQ43</f>
        <v>700000</v>
      </c>
      <c r="BU43" s="15">
        <f>BP43/AD43</f>
        <v>0</v>
      </c>
      <c r="BV43" s="15">
        <f>BQ43/AD43</f>
        <v>0</v>
      </c>
      <c r="BW43" s="33"/>
      <c r="BX43" s="33"/>
      <c r="BY43" s="33"/>
      <c r="BZ43" s="36"/>
    </row>
    <row r="44" spans="1:78" s="1" customFormat="1" ht="15" customHeight="1" x14ac:dyDescent="0.2">
      <c r="A44" s="12" t="s">
        <v>7</v>
      </c>
      <c r="B44" s="24" t="s">
        <v>62</v>
      </c>
      <c r="C44" s="24" t="s">
        <v>227</v>
      </c>
      <c r="D44" s="24" t="s">
        <v>13</v>
      </c>
      <c r="E44" s="3">
        <v>255005</v>
      </c>
      <c r="F44" s="9"/>
      <c r="G44" s="10"/>
      <c r="H44" s="3"/>
      <c r="I44" s="3"/>
      <c r="J44" s="3"/>
      <c r="K44" s="3"/>
      <c r="L44" s="3"/>
      <c r="M44" s="11"/>
      <c r="N44" s="11"/>
      <c r="O44" s="11"/>
      <c r="P44" s="3"/>
      <c r="Q44" s="12"/>
      <c r="R44" s="12"/>
      <c r="S44" s="12"/>
      <c r="T44" s="12"/>
      <c r="U44" s="12"/>
      <c r="V44" s="25"/>
      <c r="W44" s="34"/>
      <c r="X44" s="24" t="s">
        <v>461</v>
      </c>
      <c r="Y44" s="110" t="s">
        <v>460</v>
      </c>
      <c r="Z44" s="36"/>
      <c r="AA44" s="36"/>
      <c r="AB44" s="7"/>
      <c r="AC44" s="33"/>
      <c r="AD44" s="33"/>
      <c r="AE44" s="33"/>
      <c r="AF44" s="7"/>
      <c r="AG44" s="33"/>
      <c r="AH44" s="36">
        <v>0</v>
      </c>
      <c r="AI44" s="36">
        <v>500000</v>
      </c>
      <c r="AJ44" s="33">
        <v>0</v>
      </c>
      <c r="AK44" s="36"/>
      <c r="AL44" s="7"/>
      <c r="AM44" s="36"/>
      <c r="AN44" s="7"/>
      <c r="AO44" s="36"/>
      <c r="AP44" s="36"/>
      <c r="AQ44" s="7"/>
      <c r="AR44" s="7"/>
      <c r="AS44" s="7"/>
      <c r="AT44" s="36"/>
      <c r="AU44" s="36"/>
      <c r="AV44" s="7"/>
      <c r="AW44" s="36"/>
      <c r="AX44" s="36"/>
      <c r="AY44" s="7"/>
      <c r="AZ44" s="36"/>
      <c r="BA44" s="36"/>
      <c r="BB44" s="7"/>
      <c r="BC44" s="36"/>
      <c r="BD44" s="7"/>
      <c r="BE44" s="36"/>
      <c r="BF44" s="7"/>
      <c r="BG44" s="36"/>
      <c r="BH44" s="7"/>
      <c r="BI44" s="36"/>
      <c r="BJ44" s="7"/>
      <c r="BK44" s="36"/>
      <c r="BL44" s="7"/>
      <c r="BM44" s="36"/>
      <c r="BN44" s="7"/>
      <c r="BO44" s="36"/>
      <c r="BP44" s="14"/>
      <c r="BQ44" s="14"/>
      <c r="BR44" s="7"/>
      <c r="BS44" s="7"/>
      <c r="BT44" s="7"/>
      <c r="BU44" s="15"/>
      <c r="BV44" s="15"/>
      <c r="BW44" s="291"/>
      <c r="BX44" s="291"/>
      <c r="BY44" s="33"/>
      <c r="BZ44" s="36"/>
    </row>
    <row r="45" spans="1:78" s="1" customFormat="1" ht="15" customHeight="1" x14ac:dyDescent="0.2">
      <c r="A45" s="12" t="s">
        <v>7</v>
      </c>
      <c r="B45" s="24" t="s">
        <v>62</v>
      </c>
      <c r="C45" s="24" t="s">
        <v>227</v>
      </c>
      <c r="D45" s="24" t="s">
        <v>13</v>
      </c>
      <c r="E45" s="3">
        <v>255005</v>
      </c>
      <c r="F45" s="9"/>
      <c r="G45" s="10"/>
      <c r="H45" s="3"/>
      <c r="I45" s="3"/>
      <c r="J45" s="3"/>
      <c r="K45" s="3"/>
      <c r="L45" s="3"/>
      <c r="M45" s="11"/>
      <c r="N45" s="11"/>
      <c r="O45" s="11"/>
      <c r="P45" s="3"/>
      <c r="Q45" s="12"/>
      <c r="R45" s="12"/>
      <c r="S45" s="12"/>
      <c r="T45" s="12"/>
      <c r="U45" s="12"/>
      <c r="V45" s="25"/>
      <c r="W45" s="34"/>
      <c r="X45" s="24" t="s">
        <v>458</v>
      </c>
      <c r="Y45" s="110" t="s">
        <v>460</v>
      </c>
      <c r="Z45" s="36"/>
      <c r="AA45" s="36"/>
      <c r="AB45" s="7"/>
      <c r="AC45" s="33"/>
      <c r="AD45" s="33"/>
      <c r="AE45" s="33"/>
      <c r="AF45" s="7"/>
      <c r="AG45" s="33"/>
      <c r="AH45" s="36">
        <v>18180294</v>
      </c>
      <c r="AI45" s="36">
        <v>6000000</v>
      </c>
      <c r="AJ45" s="33">
        <v>0</v>
      </c>
      <c r="AK45" s="36"/>
      <c r="AL45" s="7"/>
      <c r="AM45" s="36"/>
      <c r="AN45" s="7"/>
      <c r="AO45" s="36"/>
      <c r="AP45" s="36"/>
      <c r="AQ45" s="7"/>
      <c r="AR45" s="7"/>
      <c r="AS45" s="7"/>
      <c r="AT45" s="36"/>
      <c r="AU45" s="36"/>
      <c r="AV45" s="7"/>
      <c r="AW45" s="36"/>
      <c r="AX45" s="36"/>
      <c r="AY45" s="7"/>
      <c r="AZ45" s="36"/>
      <c r="BA45" s="36"/>
      <c r="BB45" s="7"/>
      <c r="BC45" s="36"/>
      <c r="BD45" s="7"/>
      <c r="BE45" s="36"/>
      <c r="BF45" s="7"/>
      <c r="BG45" s="36"/>
      <c r="BH45" s="7"/>
      <c r="BI45" s="36"/>
      <c r="BJ45" s="7"/>
      <c r="BK45" s="36"/>
      <c r="BL45" s="7"/>
      <c r="BM45" s="36"/>
      <c r="BN45" s="7"/>
      <c r="BO45" s="36"/>
      <c r="BP45" s="14"/>
      <c r="BQ45" s="14"/>
      <c r="BR45" s="7"/>
      <c r="BS45" s="7"/>
      <c r="BT45" s="7"/>
      <c r="BU45" s="15"/>
      <c r="BV45" s="15"/>
      <c r="BW45" s="291"/>
      <c r="BX45" s="291"/>
      <c r="BY45" s="33"/>
      <c r="BZ45" s="36"/>
    </row>
    <row r="46" spans="1:78" s="1" customFormat="1" ht="17.100000000000001" customHeight="1" thickBot="1" x14ac:dyDescent="0.3">
      <c r="A46" s="12"/>
      <c r="B46" s="24"/>
      <c r="C46" s="24"/>
      <c r="D46" s="24"/>
      <c r="E46" s="3"/>
      <c r="F46" s="9"/>
      <c r="G46" s="10"/>
      <c r="H46" s="3"/>
      <c r="I46" s="3"/>
      <c r="J46" s="3"/>
      <c r="K46" s="3"/>
      <c r="L46" s="3"/>
      <c r="M46" s="11"/>
      <c r="N46" s="11"/>
      <c r="O46" s="11"/>
      <c r="P46" s="3"/>
      <c r="Q46" s="12"/>
      <c r="R46" s="12"/>
      <c r="S46" s="12"/>
      <c r="T46" s="12"/>
      <c r="U46" s="12"/>
      <c r="V46" s="25"/>
      <c r="W46" s="34"/>
      <c r="X46" s="24"/>
      <c r="Y46" s="110"/>
      <c r="Z46" s="36"/>
      <c r="AA46" s="36"/>
      <c r="AB46" s="7"/>
      <c r="AC46" s="33"/>
      <c r="AD46" s="33"/>
      <c r="AE46" s="33"/>
      <c r="AF46" s="7"/>
      <c r="AG46" s="33"/>
      <c r="AH46" s="314">
        <f>SUM(AH43:AH45)</f>
        <v>19680294</v>
      </c>
      <c r="AI46" s="314">
        <f>SUM(AI43:AI45)</f>
        <v>7500000</v>
      </c>
      <c r="AJ46" s="314">
        <f>SUM(AJ43:AJ45)</f>
        <v>1000000</v>
      </c>
      <c r="AK46" s="36"/>
      <c r="AL46" s="7"/>
      <c r="AM46" s="36"/>
      <c r="AN46" s="7"/>
      <c r="AO46" s="36"/>
      <c r="AP46" s="36"/>
      <c r="AQ46" s="7"/>
      <c r="AR46" s="7"/>
      <c r="AS46" s="7"/>
      <c r="AT46" s="36"/>
      <c r="AU46" s="36"/>
      <c r="AV46" s="7"/>
      <c r="AW46" s="36"/>
      <c r="AX46" s="36"/>
      <c r="AY46" s="7"/>
      <c r="AZ46" s="36"/>
      <c r="BA46" s="36"/>
      <c r="BB46" s="7"/>
      <c r="BC46" s="36"/>
      <c r="BD46" s="7"/>
      <c r="BE46" s="36"/>
      <c r="BF46" s="7"/>
      <c r="BG46" s="36"/>
      <c r="BH46" s="7"/>
      <c r="BI46" s="36"/>
      <c r="BJ46" s="7"/>
      <c r="BK46" s="36"/>
      <c r="BL46" s="7"/>
      <c r="BM46" s="36"/>
      <c r="BN46" s="7"/>
      <c r="BO46" s="36"/>
      <c r="BP46" s="14"/>
      <c r="BQ46" s="14"/>
      <c r="BR46" s="7"/>
      <c r="BS46" s="7"/>
      <c r="BT46" s="7"/>
      <c r="BU46" s="15"/>
      <c r="BV46" s="15"/>
      <c r="BW46" s="291"/>
      <c r="BX46" s="291"/>
      <c r="BY46" s="33"/>
      <c r="BZ46" s="36"/>
    </row>
    <row r="47" spans="1:78" s="1" customFormat="1" ht="17.100000000000001" customHeight="1" x14ac:dyDescent="0.25">
      <c r="A47" s="12"/>
      <c r="B47" s="24"/>
      <c r="C47" s="24"/>
      <c r="D47" s="24"/>
      <c r="E47" s="3"/>
      <c r="F47" s="9"/>
      <c r="G47" s="10"/>
      <c r="H47" s="3"/>
      <c r="I47" s="3"/>
      <c r="J47" s="3"/>
      <c r="K47" s="3"/>
      <c r="L47" s="3"/>
      <c r="M47" s="11"/>
      <c r="N47" s="11"/>
      <c r="O47" s="11"/>
      <c r="P47" s="3"/>
      <c r="Q47" s="12"/>
      <c r="R47" s="12"/>
      <c r="S47" s="12"/>
      <c r="T47" s="12"/>
      <c r="U47" s="12"/>
      <c r="V47" s="25"/>
      <c r="W47" s="34"/>
      <c r="X47" s="24"/>
      <c r="Y47" s="110"/>
      <c r="Z47" s="36"/>
      <c r="AA47" s="36"/>
      <c r="AB47" s="7"/>
      <c r="AC47" s="33"/>
      <c r="AD47" s="33"/>
      <c r="AE47" s="33"/>
      <c r="AF47" s="7"/>
      <c r="AG47" s="33"/>
      <c r="AH47" s="312"/>
      <c r="AI47" s="312"/>
      <c r="AJ47" s="312"/>
      <c r="AK47" s="36"/>
      <c r="AL47" s="7"/>
      <c r="AM47" s="36"/>
      <c r="AN47" s="7"/>
      <c r="AO47" s="36"/>
      <c r="AP47" s="36"/>
      <c r="AQ47" s="7"/>
      <c r="AR47" s="7"/>
      <c r="AS47" s="7"/>
      <c r="AT47" s="36"/>
      <c r="AU47" s="36"/>
      <c r="AV47" s="7"/>
      <c r="AW47" s="36"/>
      <c r="AX47" s="36"/>
      <c r="AY47" s="7"/>
      <c r="AZ47" s="36"/>
      <c r="BA47" s="36"/>
      <c r="BB47" s="7"/>
      <c r="BC47" s="36"/>
      <c r="BD47" s="7"/>
      <c r="BE47" s="36"/>
      <c r="BF47" s="7"/>
      <c r="BG47" s="36"/>
      <c r="BH47" s="7"/>
      <c r="BI47" s="36"/>
      <c r="BJ47" s="7"/>
      <c r="BK47" s="36"/>
      <c r="BL47" s="7"/>
      <c r="BM47" s="36"/>
      <c r="BN47" s="7"/>
      <c r="BO47" s="36"/>
      <c r="BP47" s="14"/>
      <c r="BQ47" s="14"/>
      <c r="BR47" s="7"/>
      <c r="BS47" s="7"/>
      <c r="BT47" s="7"/>
      <c r="BU47" s="15"/>
      <c r="BV47" s="15"/>
      <c r="BW47" s="291"/>
      <c r="BX47" s="291"/>
      <c r="BY47" s="33"/>
      <c r="BZ47" s="36"/>
    </row>
    <row r="48" spans="1:78" s="1" customFormat="1" ht="15" customHeight="1" x14ac:dyDescent="0.2">
      <c r="A48" s="12" t="s">
        <v>7</v>
      </c>
      <c r="B48" s="24" t="s">
        <v>62</v>
      </c>
      <c r="C48" s="24" t="s">
        <v>227</v>
      </c>
      <c r="D48" s="24" t="s">
        <v>13</v>
      </c>
      <c r="E48" s="3">
        <v>255005</v>
      </c>
      <c r="F48" s="9"/>
      <c r="G48" s="10"/>
      <c r="H48" s="3"/>
      <c r="I48" s="3"/>
      <c r="J48" s="3"/>
      <c r="K48" s="3"/>
      <c r="L48" s="3"/>
      <c r="M48" s="11"/>
      <c r="N48" s="11"/>
      <c r="O48" s="11"/>
      <c r="P48" s="3"/>
      <c r="Q48" s="12"/>
      <c r="R48" s="12"/>
      <c r="S48" s="12"/>
      <c r="T48" s="12"/>
      <c r="U48" s="12"/>
      <c r="V48" s="25"/>
      <c r="W48" s="34"/>
      <c r="X48" s="24" t="s">
        <v>481</v>
      </c>
      <c r="Y48" s="110" t="s">
        <v>491</v>
      </c>
      <c r="Z48" s="36"/>
      <c r="AA48" s="36"/>
      <c r="AB48" s="7"/>
      <c r="AC48" s="33"/>
      <c r="AD48" s="33"/>
      <c r="AE48" s="33"/>
      <c r="AF48" s="7"/>
      <c r="AG48" s="33"/>
      <c r="AH48" s="36">
        <v>5000000</v>
      </c>
      <c r="AI48" s="36">
        <v>0</v>
      </c>
      <c r="AJ48" s="33">
        <v>0</v>
      </c>
      <c r="AK48" s="36"/>
      <c r="AL48" s="7"/>
      <c r="AM48" s="36"/>
      <c r="AN48" s="7"/>
      <c r="AO48" s="36"/>
      <c r="AP48" s="36"/>
      <c r="AQ48" s="7"/>
      <c r="AR48" s="7"/>
      <c r="AS48" s="7"/>
      <c r="AT48" s="36"/>
      <c r="AU48" s="36"/>
      <c r="AV48" s="7"/>
      <c r="AW48" s="36"/>
      <c r="AX48" s="36"/>
      <c r="AY48" s="7"/>
      <c r="AZ48" s="36"/>
      <c r="BA48" s="36"/>
      <c r="BB48" s="7"/>
      <c r="BC48" s="36"/>
      <c r="BD48" s="7"/>
      <c r="BE48" s="36"/>
      <c r="BF48" s="7"/>
      <c r="BG48" s="36"/>
      <c r="BH48" s="7"/>
      <c r="BI48" s="36"/>
      <c r="BJ48" s="7"/>
      <c r="BK48" s="36"/>
      <c r="BL48" s="7"/>
      <c r="BM48" s="36"/>
      <c r="BN48" s="7"/>
      <c r="BO48" s="36"/>
      <c r="BP48" s="14"/>
      <c r="BQ48" s="14"/>
      <c r="BR48" s="7"/>
      <c r="BS48" s="7"/>
      <c r="BT48" s="7"/>
      <c r="BU48" s="15"/>
      <c r="BV48" s="15"/>
      <c r="BW48" s="291"/>
      <c r="BX48" s="291"/>
      <c r="BY48" s="33"/>
      <c r="BZ48" s="36"/>
    </row>
    <row r="49" spans="1:78" s="1" customFormat="1" ht="31.5" customHeight="1" x14ac:dyDescent="0.2">
      <c r="A49" s="12" t="s">
        <v>7</v>
      </c>
      <c r="B49" s="24" t="s">
        <v>62</v>
      </c>
      <c r="C49" s="24" t="s">
        <v>227</v>
      </c>
      <c r="D49" s="24" t="s">
        <v>13</v>
      </c>
      <c r="E49" s="3">
        <v>255005</v>
      </c>
      <c r="F49" s="9" t="s">
        <v>13</v>
      </c>
      <c r="G49" s="10" t="s">
        <v>13</v>
      </c>
      <c r="H49" s="3">
        <v>4</v>
      </c>
      <c r="I49" s="3">
        <v>36</v>
      </c>
      <c r="J49" s="3">
        <v>1420</v>
      </c>
      <c r="K49" s="3" t="s">
        <v>186</v>
      </c>
      <c r="L49" s="3" t="s">
        <v>189</v>
      </c>
      <c r="M49" s="11" t="s">
        <v>187</v>
      </c>
      <c r="N49" s="11" t="s">
        <v>187</v>
      </c>
      <c r="O49" s="11" t="s">
        <v>193</v>
      </c>
      <c r="P49" s="3" t="s">
        <v>188</v>
      </c>
      <c r="Q49" s="12" t="s">
        <v>110</v>
      </c>
      <c r="R49" s="12" t="s">
        <v>222</v>
      </c>
      <c r="S49" s="12"/>
      <c r="T49" s="12" t="s">
        <v>36</v>
      </c>
      <c r="U49" s="12" t="s">
        <v>13</v>
      </c>
      <c r="V49" s="25" t="s">
        <v>69</v>
      </c>
      <c r="W49" s="34" t="s">
        <v>142</v>
      </c>
      <c r="X49" s="24" t="s">
        <v>134</v>
      </c>
      <c r="Y49" s="110" t="s">
        <v>37</v>
      </c>
      <c r="Z49" s="33">
        <v>2500000</v>
      </c>
      <c r="AA49" s="33"/>
      <c r="AB49" s="7">
        <f>Z49+AA49</f>
        <v>2500000</v>
      </c>
      <c r="AC49" s="33">
        <v>1000000</v>
      </c>
      <c r="AD49" s="33">
        <f>AB49+AC49</f>
        <v>3500000</v>
      </c>
      <c r="AE49" s="33"/>
      <c r="AF49" s="7">
        <f>+AD49+AE49</f>
        <v>3500000</v>
      </c>
      <c r="AG49" s="33"/>
      <c r="AH49" s="33">
        <v>775000</v>
      </c>
      <c r="AI49" s="33">
        <v>0</v>
      </c>
      <c r="AJ49" s="33">
        <v>0</v>
      </c>
      <c r="AK49" s="33"/>
      <c r="AL49" s="7">
        <f>AK49</f>
        <v>0</v>
      </c>
      <c r="AM49" s="33"/>
      <c r="AN49" s="7">
        <f>AM49</f>
        <v>0</v>
      </c>
      <c r="AO49" s="33">
        <v>81590</v>
      </c>
      <c r="AP49" s="33">
        <v>11422.6</v>
      </c>
      <c r="AQ49" s="7">
        <f>AO49+AP49</f>
        <v>93012.6</v>
      </c>
      <c r="AR49" s="7">
        <f>AK49+AM49+AO49</f>
        <v>81590</v>
      </c>
      <c r="AS49" s="7">
        <f>AL49+AN49+AQ49</f>
        <v>93012.6</v>
      </c>
      <c r="AT49" s="33"/>
      <c r="AU49" s="33"/>
      <c r="AV49" s="7">
        <f>AT49+AU49</f>
        <v>0</v>
      </c>
      <c r="AW49" s="33"/>
      <c r="AX49" s="33"/>
      <c r="AY49" s="7">
        <f>AW49+AX49</f>
        <v>0</v>
      </c>
      <c r="AZ49" s="33"/>
      <c r="BA49" s="33"/>
      <c r="BB49" s="7">
        <f>AZ49+BA49</f>
        <v>0</v>
      </c>
      <c r="BC49" s="33"/>
      <c r="BD49" s="7">
        <f>BC49</f>
        <v>0</v>
      </c>
      <c r="BE49" s="33"/>
      <c r="BF49" s="7">
        <f>BE49</f>
        <v>0</v>
      </c>
      <c r="BG49" s="33"/>
      <c r="BH49" s="7">
        <f>BG49</f>
        <v>0</v>
      </c>
      <c r="BI49" s="33"/>
      <c r="BJ49" s="7">
        <f>BI49</f>
        <v>0</v>
      </c>
      <c r="BK49" s="33"/>
      <c r="BL49" s="7">
        <f>BK49</f>
        <v>0</v>
      </c>
      <c r="BM49" s="33"/>
      <c r="BN49" s="7">
        <f>BM49</f>
        <v>0</v>
      </c>
      <c r="BO49" s="33"/>
      <c r="BP49" s="14">
        <f>AK49+AM49+AO49+AT49+AW49+AZ49+BC49+BE49+BG49+BI49+BK49+BM49</f>
        <v>81590</v>
      </c>
      <c r="BQ49" s="14">
        <f>AL49+AN49+AQ49+AV49+AY49+BB49</f>
        <v>93012.6</v>
      </c>
      <c r="BR49" s="7"/>
      <c r="BS49" s="7">
        <f>AD49-BP49</f>
        <v>3418410</v>
      </c>
      <c r="BT49" s="7">
        <f>AD49-BQ49</f>
        <v>3406987.4</v>
      </c>
      <c r="BU49" s="15">
        <f>BP49/AD49</f>
        <v>2.331142857142857E-2</v>
      </c>
      <c r="BV49" s="15">
        <f>BQ49/AD49</f>
        <v>2.6575028571428572E-2</v>
      </c>
      <c r="BW49" s="33"/>
      <c r="BX49" s="33"/>
      <c r="BY49" s="33"/>
      <c r="BZ49" s="36"/>
    </row>
    <row r="50" spans="1:78" s="1" customFormat="1" ht="15" customHeight="1" x14ac:dyDescent="0.2">
      <c r="A50" s="12" t="s">
        <v>7</v>
      </c>
      <c r="B50" s="24" t="s">
        <v>62</v>
      </c>
      <c r="C50" s="24" t="s">
        <v>227</v>
      </c>
      <c r="D50" s="24" t="s">
        <v>13</v>
      </c>
      <c r="E50" s="3">
        <v>255005</v>
      </c>
      <c r="F50" s="9"/>
      <c r="G50" s="10"/>
      <c r="H50" s="3"/>
      <c r="I50" s="3"/>
      <c r="J50" s="3"/>
      <c r="K50" s="11"/>
      <c r="L50" s="11"/>
      <c r="M50" s="11"/>
      <c r="N50" s="11"/>
      <c r="O50" s="11"/>
      <c r="P50" s="11"/>
      <c r="Q50" s="12"/>
      <c r="R50" s="12"/>
      <c r="S50" s="12"/>
      <c r="T50" s="12"/>
      <c r="U50" s="12"/>
      <c r="V50" s="13"/>
      <c r="W50" s="34"/>
      <c r="X50" s="24" t="s">
        <v>480</v>
      </c>
      <c r="Y50" s="110" t="s">
        <v>460</v>
      </c>
      <c r="Z50" s="33"/>
      <c r="AA50" s="33"/>
      <c r="AB50" s="7"/>
      <c r="AC50" s="33"/>
      <c r="AD50" s="33"/>
      <c r="AE50" s="33"/>
      <c r="AF50" s="7"/>
      <c r="AG50" s="33"/>
      <c r="AH50" s="33">
        <v>5000000</v>
      </c>
      <c r="AI50" s="33">
        <v>0</v>
      </c>
      <c r="AJ50" s="33">
        <v>0</v>
      </c>
      <c r="AK50" s="33"/>
      <c r="AL50" s="7"/>
      <c r="AM50" s="33"/>
      <c r="AN50" s="7"/>
      <c r="AO50" s="33"/>
      <c r="AP50" s="33"/>
      <c r="AQ50" s="7"/>
      <c r="AR50" s="7"/>
      <c r="AS50" s="7"/>
      <c r="AT50" s="33"/>
      <c r="AU50" s="33"/>
      <c r="AV50" s="7"/>
      <c r="AW50" s="33"/>
      <c r="AX50" s="33"/>
      <c r="AY50" s="7"/>
      <c r="AZ50" s="33"/>
      <c r="BA50" s="33"/>
      <c r="BB50" s="7"/>
      <c r="BC50" s="33"/>
      <c r="BD50" s="7"/>
      <c r="BE50" s="33"/>
      <c r="BF50" s="7"/>
      <c r="BG50" s="33"/>
      <c r="BH50" s="7"/>
      <c r="BI50" s="33"/>
      <c r="BJ50" s="7"/>
      <c r="BK50" s="33"/>
      <c r="BL50" s="7"/>
      <c r="BM50" s="33"/>
      <c r="BN50" s="7"/>
      <c r="BO50" s="33"/>
      <c r="BP50" s="14"/>
      <c r="BQ50" s="14"/>
      <c r="BR50" s="7"/>
      <c r="BS50" s="7"/>
      <c r="BT50" s="7"/>
      <c r="BU50" s="15"/>
      <c r="BV50" s="15"/>
      <c r="BW50" s="291"/>
      <c r="BX50" s="291"/>
      <c r="BY50" s="33"/>
      <c r="BZ50" s="36"/>
    </row>
    <row r="51" spans="1:78" s="1" customFormat="1" ht="30" x14ac:dyDescent="0.2">
      <c r="A51" s="12" t="s">
        <v>7</v>
      </c>
      <c r="B51" s="24" t="s">
        <v>62</v>
      </c>
      <c r="C51" s="24" t="s">
        <v>227</v>
      </c>
      <c r="D51" s="24"/>
      <c r="E51" s="3">
        <v>255005</v>
      </c>
      <c r="F51" s="9" t="s">
        <v>13</v>
      </c>
      <c r="G51" s="10" t="s">
        <v>13</v>
      </c>
      <c r="H51" s="3">
        <v>4</v>
      </c>
      <c r="I51" s="3">
        <v>35</v>
      </c>
      <c r="J51" s="3">
        <v>1402</v>
      </c>
      <c r="K51" s="3" t="s">
        <v>186</v>
      </c>
      <c r="L51" s="3" t="s">
        <v>189</v>
      </c>
      <c r="M51" s="11" t="s">
        <v>187</v>
      </c>
      <c r="N51" s="11" t="s">
        <v>187</v>
      </c>
      <c r="O51" s="11" t="s">
        <v>193</v>
      </c>
      <c r="P51" s="3" t="s">
        <v>188</v>
      </c>
      <c r="Q51" s="12" t="s">
        <v>110</v>
      </c>
      <c r="R51" s="12" t="s">
        <v>222</v>
      </c>
      <c r="S51" s="12"/>
      <c r="T51" s="12" t="s">
        <v>36</v>
      </c>
      <c r="U51" s="12" t="s">
        <v>13</v>
      </c>
      <c r="V51" s="25" t="s">
        <v>69</v>
      </c>
      <c r="W51" s="111">
        <v>15</v>
      </c>
      <c r="X51" s="24" t="s">
        <v>200</v>
      </c>
      <c r="Y51" s="110" t="s">
        <v>38</v>
      </c>
      <c r="Z51" s="33">
        <v>350000</v>
      </c>
      <c r="AA51" s="33"/>
      <c r="AB51" s="7">
        <f>Z51+AA51</f>
        <v>350000</v>
      </c>
      <c r="AC51" s="33"/>
      <c r="AD51" s="33">
        <f>AB51+AC51</f>
        <v>350000</v>
      </c>
      <c r="AE51" s="33"/>
      <c r="AF51" s="7">
        <f>+AD51+AE51</f>
        <v>350000</v>
      </c>
      <c r="AG51" s="33"/>
      <c r="AH51" s="33">
        <v>700000</v>
      </c>
      <c r="AI51" s="33">
        <v>3300000</v>
      </c>
      <c r="AJ51" s="33">
        <v>10000000</v>
      </c>
      <c r="AK51" s="33"/>
      <c r="AL51" s="7">
        <f>AK51</f>
        <v>0</v>
      </c>
      <c r="AM51" s="33"/>
      <c r="AN51" s="7">
        <f>AM51</f>
        <v>0</v>
      </c>
      <c r="AO51" s="33"/>
      <c r="AP51" s="33"/>
      <c r="AQ51" s="7">
        <f>AO51+AP51</f>
        <v>0</v>
      </c>
      <c r="AR51" s="7">
        <f>AK51+AM51+AO51</f>
        <v>0</v>
      </c>
      <c r="AS51" s="7">
        <f>AL51+AN51+AQ51</f>
        <v>0</v>
      </c>
      <c r="AT51" s="33"/>
      <c r="AU51" s="33"/>
      <c r="AV51" s="7">
        <f>AT51+AU51</f>
        <v>0</v>
      </c>
      <c r="AW51" s="33"/>
      <c r="AX51" s="33"/>
      <c r="AY51" s="7">
        <f>AW51+AX51</f>
        <v>0</v>
      </c>
      <c r="AZ51" s="33"/>
      <c r="BA51" s="33"/>
      <c r="BB51" s="7">
        <f>AZ51+BA51</f>
        <v>0</v>
      </c>
      <c r="BC51" s="33"/>
      <c r="BD51" s="7">
        <f>BC51</f>
        <v>0</v>
      </c>
      <c r="BE51" s="33"/>
      <c r="BF51" s="7">
        <f>BE51</f>
        <v>0</v>
      </c>
      <c r="BG51" s="33"/>
      <c r="BH51" s="7">
        <f>BG51</f>
        <v>0</v>
      </c>
      <c r="BI51" s="33"/>
      <c r="BJ51" s="7">
        <f>BI51</f>
        <v>0</v>
      </c>
      <c r="BK51" s="33"/>
      <c r="BL51" s="7">
        <f>BK51</f>
        <v>0</v>
      </c>
      <c r="BM51" s="33"/>
      <c r="BN51" s="7">
        <f>BM51</f>
        <v>0</v>
      </c>
      <c r="BO51" s="33"/>
      <c r="BP51" s="14">
        <f>AK51+AM51+AO51+AT51+AW51+AZ51+BC51+BE51+BG51+BI51+BK51+BM51</f>
        <v>0</v>
      </c>
      <c r="BQ51" s="14">
        <f>AL51+AN51+AQ51+AV51+AY51+BB51</f>
        <v>0</v>
      </c>
      <c r="BR51" s="7"/>
      <c r="BS51" s="7">
        <f>AD51-BP51</f>
        <v>350000</v>
      </c>
      <c r="BT51" s="7">
        <f>AD51-BQ51</f>
        <v>350000</v>
      </c>
      <c r="BU51" s="15">
        <f>BP51/AD51</f>
        <v>0</v>
      </c>
      <c r="BV51" s="15">
        <f>BQ51/AD51</f>
        <v>0</v>
      </c>
      <c r="BW51" s="291"/>
      <c r="BX51" s="291"/>
      <c r="BY51" s="33"/>
      <c r="BZ51" s="36"/>
    </row>
    <row r="52" spans="1:78" s="1" customFormat="1" ht="15" customHeight="1" x14ac:dyDescent="0.2">
      <c r="A52" s="12" t="s">
        <v>7</v>
      </c>
      <c r="B52" s="24" t="s">
        <v>62</v>
      </c>
      <c r="C52" s="24" t="s">
        <v>227</v>
      </c>
      <c r="D52" s="24"/>
      <c r="E52" s="3">
        <v>255005</v>
      </c>
      <c r="F52" s="9" t="s">
        <v>13</v>
      </c>
      <c r="G52" s="10" t="s">
        <v>13</v>
      </c>
      <c r="H52" s="3">
        <v>4</v>
      </c>
      <c r="I52" s="3">
        <v>35</v>
      </c>
      <c r="J52" s="3">
        <v>1406</v>
      </c>
      <c r="K52" s="3" t="s">
        <v>186</v>
      </c>
      <c r="L52" s="3" t="s">
        <v>189</v>
      </c>
      <c r="M52" s="11" t="s">
        <v>187</v>
      </c>
      <c r="N52" s="11" t="s">
        <v>187</v>
      </c>
      <c r="O52" s="11" t="s">
        <v>193</v>
      </c>
      <c r="P52" s="3" t="s">
        <v>188</v>
      </c>
      <c r="Q52" s="12" t="s">
        <v>110</v>
      </c>
      <c r="R52" s="12" t="s">
        <v>222</v>
      </c>
      <c r="S52" s="12"/>
      <c r="T52" s="12" t="s">
        <v>36</v>
      </c>
      <c r="U52" s="12" t="s">
        <v>13</v>
      </c>
      <c r="V52" s="25" t="s">
        <v>69</v>
      </c>
      <c r="W52" s="34">
        <v>2</v>
      </c>
      <c r="X52" s="24" t="s">
        <v>161</v>
      </c>
      <c r="Y52" s="110" t="s">
        <v>38</v>
      </c>
      <c r="Z52" s="36">
        <v>500000</v>
      </c>
      <c r="AA52" s="36"/>
      <c r="AB52" s="7">
        <f t="shared" ref="AB52:AB60" si="0">Z52+AA52</f>
        <v>500000</v>
      </c>
      <c r="AC52" s="33"/>
      <c r="AD52" s="33">
        <f>AB52+AC52</f>
        <v>500000</v>
      </c>
      <c r="AE52" s="33"/>
      <c r="AF52" s="7">
        <f>+AD52+AE52</f>
        <v>500000</v>
      </c>
      <c r="AG52" s="33"/>
      <c r="AH52" s="36">
        <v>2000000</v>
      </c>
      <c r="AI52" s="36">
        <v>2000000</v>
      </c>
      <c r="AJ52" s="33">
        <v>10000000</v>
      </c>
      <c r="AK52" s="36"/>
      <c r="AL52" s="7">
        <f t="shared" ref="AL52:AL60" si="1">AK52</f>
        <v>0</v>
      </c>
      <c r="AM52" s="36"/>
      <c r="AN52" s="7">
        <f t="shared" ref="AN52:AN60" si="2">AM52</f>
        <v>0</v>
      </c>
      <c r="AO52" s="36"/>
      <c r="AP52" s="36"/>
      <c r="AQ52" s="7">
        <f t="shared" ref="AQ52:AQ60" si="3">AO52+AP52</f>
        <v>0</v>
      </c>
      <c r="AR52" s="7">
        <f t="shared" ref="AR52:AR60" si="4">AK52+AM52+AO52</f>
        <v>0</v>
      </c>
      <c r="AS52" s="7">
        <f t="shared" ref="AS52:AS60" si="5">AL52+AN52+AQ52</f>
        <v>0</v>
      </c>
      <c r="AT52" s="36">
        <v>3707.64</v>
      </c>
      <c r="AU52" s="36"/>
      <c r="AV52" s="7">
        <f t="shared" ref="AV52:AV60" si="6">AT52+AU52</f>
        <v>3707.64</v>
      </c>
      <c r="AW52" s="36">
        <v>-3707.64</v>
      </c>
      <c r="AX52" s="36"/>
      <c r="AY52" s="7">
        <f t="shared" ref="AY52:AY60" si="7">AW52+AX52</f>
        <v>-3707.64</v>
      </c>
      <c r="AZ52" s="36"/>
      <c r="BA52" s="36"/>
      <c r="BB52" s="7">
        <f>AZ52+BA52</f>
        <v>0</v>
      </c>
      <c r="BC52" s="36"/>
      <c r="BD52" s="7">
        <f t="shared" ref="BD52:BD60" si="8">BC52</f>
        <v>0</v>
      </c>
      <c r="BE52" s="36"/>
      <c r="BF52" s="7">
        <f t="shared" ref="BF52:BF60" si="9">BE52</f>
        <v>0</v>
      </c>
      <c r="BG52" s="36"/>
      <c r="BH52" s="7">
        <f t="shared" ref="BH52:BH60" si="10">BG52</f>
        <v>0</v>
      </c>
      <c r="BI52" s="36"/>
      <c r="BJ52" s="7">
        <f t="shared" ref="BJ52:BJ60" si="11">BI52</f>
        <v>0</v>
      </c>
      <c r="BK52" s="36"/>
      <c r="BL52" s="7">
        <f t="shared" ref="BL52:BL60" si="12">BK52</f>
        <v>0</v>
      </c>
      <c r="BM52" s="36"/>
      <c r="BN52" s="7">
        <f t="shared" ref="BN52:BN60" si="13">BM52</f>
        <v>0</v>
      </c>
      <c r="BO52" s="36"/>
      <c r="BP52" s="14">
        <f t="shared" ref="BP52:BP60" si="14">AK52+AM52+AO52+AT52+AW52+AZ52+BC52+BE52+BG52+BI52+BK52+BM52</f>
        <v>0</v>
      </c>
      <c r="BQ52" s="14">
        <f>AL52+AN52+AQ52+AV52+AY52+BB52</f>
        <v>0</v>
      </c>
      <c r="BR52" s="7"/>
      <c r="BS52" s="7">
        <f>AD52-BP52</f>
        <v>500000</v>
      </c>
      <c r="BT52" s="7">
        <f>AD52-BQ52</f>
        <v>500000</v>
      </c>
      <c r="BU52" s="15">
        <f>BP52/AD52</f>
        <v>0</v>
      </c>
      <c r="BV52" s="15">
        <f>BQ52/AD52</f>
        <v>0</v>
      </c>
      <c r="BW52" s="291"/>
      <c r="BX52" s="291"/>
      <c r="BY52" s="33"/>
      <c r="BZ52" s="36"/>
    </row>
    <row r="53" spans="1:78" s="1" customFormat="1" ht="15" customHeight="1" x14ac:dyDescent="0.2">
      <c r="A53" s="12" t="s">
        <v>7</v>
      </c>
      <c r="B53" s="24" t="s">
        <v>62</v>
      </c>
      <c r="C53" s="24" t="s">
        <v>227</v>
      </c>
      <c r="D53" s="24"/>
      <c r="E53" s="3">
        <v>255005</v>
      </c>
      <c r="F53" s="9" t="s">
        <v>13</v>
      </c>
      <c r="G53" s="10" t="s">
        <v>13</v>
      </c>
      <c r="H53" s="3">
        <v>4</v>
      </c>
      <c r="I53" s="3">
        <v>35</v>
      </c>
      <c r="J53" s="3">
        <v>1407</v>
      </c>
      <c r="K53" s="3" t="s">
        <v>186</v>
      </c>
      <c r="L53" s="3" t="s">
        <v>189</v>
      </c>
      <c r="M53" s="11" t="s">
        <v>187</v>
      </c>
      <c r="N53" s="11" t="s">
        <v>187</v>
      </c>
      <c r="O53" s="11" t="s">
        <v>193</v>
      </c>
      <c r="P53" s="3" t="s">
        <v>188</v>
      </c>
      <c r="Q53" s="12" t="s">
        <v>110</v>
      </c>
      <c r="R53" s="12" t="s">
        <v>222</v>
      </c>
      <c r="S53" s="12"/>
      <c r="T53" s="12" t="s">
        <v>36</v>
      </c>
      <c r="U53" s="12" t="s">
        <v>13</v>
      </c>
      <c r="V53" s="25" t="s">
        <v>69</v>
      </c>
      <c r="W53" s="34">
        <v>2</v>
      </c>
      <c r="X53" s="24" t="s">
        <v>162</v>
      </c>
      <c r="Y53" s="110" t="s">
        <v>38</v>
      </c>
      <c r="Z53" s="36">
        <v>500000</v>
      </c>
      <c r="AA53" s="36"/>
      <c r="AB53" s="7">
        <f t="shared" si="0"/>
        <v>500000</v>
      </c>
      <c r="AC53" s="33"/>
      <c r="AD53" s="33">
        <f>AB53+AC53</f>
        <v>500000</v>
      </c>
      <c r="AE53" s="33"/>
      <c r="AF53" s="7">
        <f>+AD53+AE53</f>
        <v>500000</v>
      </c>
      <c r="AG53" s="33"/>
      <c r="AH53" s="36">
        <v>2000000</v>
      </c>
      <c r="AI53" s="36">
        <v>2000000</v>
      </c>
      <c r="AJ53" s="33">
        <v>10000000</v>
      </c>
      <c r="AK53" s="36"/>
      <c r="AL53" s="7">
        <f t="shared" si="1"/>
        <v>0</v>
      </c>
      <c r="AM53" s="36"/>
      <c r="AN53" s="7">
        <f t="shared" si="2"/>
        <v>0</v>
      </c>
      <c r="AO53" s="36"/>
      <c r="AP53" s="36"/>
      <c r="AQ53" s="7">
        <f t="shared" si="3"/>
        <v>0</v>
      </c>
      <c r="AR53" s="7">
        <f t="shared" si="4"/>
        <v>0</v>
      </c>
      <c r="AS53" s="7">
        <f t="shared" si="5"/>
        <v>0</v>
      </c>
      <c r="AT53" s="36"/>
      <c r="AU53" s="36"/>
      <c r="AV53" s="7">
        <f t="shared" si="6"/>
        <v>0</v>
      </c>
      <c r="AW53" s="36"/>
      <c r="AX53" s="36"/>
      <c r="AY53" s="7">
        <f t="shared" si="7"/>
        <v>0</v>
      </c>
      <c r="AZ53" s="36"/>
      <c r="BA53" s="36"/>
      <c r="BB53" s="7">
        <f>AZ53+BA53</f>
        <v>0</v>
      </c>
      <c r="BC53" s="36"/>
      <c r="BD53" s="7">
        <f t="shared" si="8"/>
        <v>0</v>
      </c>
      <c r="BE53" s="36"/>
      <c r="BF53" s="7">
        <f t="shared" si="9"/>
        <v>0</v>
      </c>
      <c r="BG53" s="36"/>
      <c r="BH53" s="7">
        <f t="shared" si="10"/>
        <v>0</v>
      </c>
      <c r="BI53" s="36"/>
      <c r="BJ53" s="7">
        <f t="shared" si="11"/>
        <v>0</v>
      </c>
      <c r="BK53" s="36"/>
      <c r="BL53" s="7">
        <f t="shared" si="12"/>
        <v>0</v>
      </c>
      <c r="BM53" s="36"/>
      <c r="BN53" s="7">
        <f t="shared" si="13"/>
        <v>0</v>
      </c>
      <c r="BO53" s="36"/>
      <c r="BP53" s="14">
        <f t="shared" si="14"/>
        <v>0</v>
      </c>
      <c r="BQ53" s="14">
        <f>AL53+AN53+AQ53+AV53+AY53+BB53</f>
        <v>0</v>
      </c>
      <c r="BR53" s="7"/>
      <c r="BS53" s="7">
        <f>AD53-BP53</f>
        <v>500000</v>
      </c>
      <c r="BT53" s="7">
        <f>AD53-BQ53</f>
        <v>500000</v>
      </c>
      <c r="BU53" s="15">
        <f>BP53/AD53</f>
        <v>0</v>
      </c>
      <c r="BV53" s="15">
        <f>BQ53/AD53</f>
        <v>0</v>
      </c>
      <c r="BW53" s="291"/>
      <c r="BX53" s="291"/>
      <c r="BY53" s="33"/>
      <c r="BZ53" s="36"/>
    </row>
    <row r="54" spans="1:78" s="1" customFormat="1" ht="15" customHeight="1" x14ac:dyDescent="0.2">
      <c r="A54" s="12" t="s">
        <v>7</v>
      </c>
      <c r="B54" s="24" t="s">
        <v>62</v>
      </c>
      <c r="C54" s="24" t="s">
        <v>227</v>
      </c>
      <c r="D54" s="24"/>
      <c r="E54" s="3">
        <v>255005</v>
      </c>
      <c r="F54" s="9"/>
      <c r="G54" s="10"/>
      <c r="H54" s="3"/>
      <c r="I54" s="3"/>
      <c r="J54" s="3"/>
      <c r="K54" s="3"/>
      <c r="L54" s="3"/>
      <c r="M54" s="11"/>
      <c r="N54" s="11"/>
      <c r="O54" s="11"/>
      <c r="P54" s="3"/>
      <c r="Q54" s="12"/>
      <c r="R54" s="12"/>
      <c r="S54" s="12"/>
      <c r="T54" s="12"/>
      <c r="U54" s="12"/>
      <c r="V54" s="25"/>
      <c r="W54" s="34"/>
      <c r="X54" s="10" t="s">
        <v>472</v>
      </c>
      <c r="Y54" s="110" t="s">
        <v>460</v>
      </c>
      <c r="Z54" s="36"/>
      <c r="AA54" s="36"/>
      <c r="AB54" s="7"/>
      <c r="AC54" s="33"/>
      <c r="AD54" s="33"/>
      <c r="AE54" s="33"/>
      <c r="AF54" s="7"/>
      <c r="AG54" s="33"/>
      <c r="AH54" s="36">
        <v>0</v>
      </c>
      <c r="AI54" s="36">
        <v>300000</v>
      </c>
      <c r="AJ54" s="33">
        <v>30000000</v>
      </c>
      <c r="AK54" s="36"/>
      <c r="AL54" s="7"/>
      <c r="AM54" s="36"/>
      <c r="AN54" s="7"/>
      <c r="AO54" s="36"/>
      <c r="AP54" s="36"/>
      <c r="AQ54" s="7"/>
      <c r="AR54" s="7"/>
      <c r="AS54" s="7"/>
      <c r="AT54" s="36"/>
      <c r="AU54" s="36"/>
      <c r="AV54" s="7"/>
      <c r="AW54" s="36"/>
      <c r="AX54" s="36"/>
      <c r="AY54" s="7"/>
      <c r="AZ54" s="36"/>
      <c r="BA54" s="36"/>
      <c r="BB54" s="7"/>
      <c r="BC54" s="36"/>
      <c r="BD54" s="7"/>
      <c r="BE54" s="36"/>
      <c r="BF54" s="7"/>
      <c r="BG54" s="36"/>
      <c r="BH54" s="7"/>
      <c r="BI54" s="36"/>
      <c r="BJ54" s="7"/>
      <c r="BK54" s="36"/>
      <c r="BL54" s="7"/>
      <c r="BM54" s="36"/>
      <c r="BN54" s="7"/>
      <c r="BO54" s="36"/>
      <c r="BP54" s="14"/>
      <c r="BQ54" s="14"/>
      <c r="BR54" s="7"/>
      <c r="BS54" s="7"/>
      <c r="BT54" s="7"/>
      <c r="BU54" s="15"/>
      <c r="BV54" s="15"/>
      <c r="BW54" s="291"/>
      <c r="BX54" s="291"/>
      <c r="BY54" s="33"/>
      <c r="BZ54" s="36"/>
    </row>
    <row r="55" spans="1:78" s="1" customFormat="1" ht="15" customHeight="1" x14ac:dyDescent="0.2">
      <c r="A55" s="12" t="s">
        <v>7</v>
      </c>
      <c r="B55" s="24" t="s">
        <v>62</v>
      </c>
      <c r="C55" s="24" t="s">
        <v>227</v>
      </c>
      <c r="D55" s="24"/>
      <c r="E55" s="3">
        <v>255005</v>
      </c>
      <c r="F55" s="9"/>
      <c r="G55" s="10"/>
      <c r="H55" s="3"/>
      <c r="I55" s="3"/>
      <c r="J55" s="3"/>
      <c r="K55" s="3"/>
      <c r="L55" s="3"/>
      <c r="M55" s="11"/>
      <c r="N55" s="11"/>
      <c r="O55" s="11"/>
      <c r="P55" s="3"/>
      <c r="Q55" s="12"/>
      <c r="R55" s="12"/>
      <c r="S55" s="12"/>
      <c r="T55" s="12"/>
      <c r="U55" s="12"/>
      <c r="V55" s="25"/>
      <c r="W55" s="34"/>
      <c r="X55" s="10" t="s">
        <v>473</v>
      </c>
      <c r="Y55" s="110" t="s">
        <v>460</v>
      </c>
      <c r="Z55" s="36"/>
      <c r="AA55" s="36"/>
      <c r="AB55" s="7"/>
      <c r="AC55" s="33"/>
      <c r="AD55" s="33"/>
      <c r="AE55" s="33"/>
      <c r="AF55" s="7"/>
      <c r="AG55" s="33"/>
      <c r="AH55" s="36">
        <v>0</v>
      </c>
      <c r="AI55" s="36">
        <v>300000</v>
      </c>
      <c r="AJ55" s="33">
        <v>30000000</v>
      </c>
      <c r="AK55" s="36"/>
      <c r="AL55" s="7"/>
      <c r="AM55" s="36"/>
      <c r="AN55" s="7"/>
      <c r="AO55" s="36"/>
      <c r="AP55" s="36"/>
      <c r="AQ55" s="7"/>
      <c r="AR55" s="7"/>
      <c r="AS55" s="7"/>
      <c r="AT55" s="36"/>
      <c r="AU55" s="36"/>
      <c r="AV55" s="7"/>
      <c r="AW55" s="36"/>
      <c r="AX55" s="36"/>
      <c r="AY55" s="7"/>
      <c r="AZ55" s="36"/>
      <c r="BA55" s="36"/>
      <c r="BB55" s="7"/>
      <c r="BC55" s="36"/>
      <c r="BD55" s="7"/>
      <c r="BE55" s="36"/>
      <c r="BF55" s="7"/>
      <c r="BG55" s="36"/>
      <c r="BH55" s="7"/>
      <c r="BI55" s="36"/>
      <c r="BJ55" s="7"/>
      <c r="BK55" s="36"/>
      <c r="BL55" s="7"/>
      <c r="BM55" s="36"/>
      <c r="BN55" s="7"/>
      <c r="BO55" s="36"/>
      <c r="BP55" s="14"/>
      <c r="BQ55" s="14"/>
      <c r="BR55" s="7"/>
      <c r="BS55" s="7"/>
      <c r="BT55" s="7"/>
      <c r="BU55" s="15"/>
      <c r="BV55" s="15"/>
      <c r="BW55" s="291"/>
      <c r="BX55" s="291"/>
      <c r="BY55" s="33"/>
      <c r="BZ55" s="36"/>
    </row>
    <row r="56" spans="1:78" s="1" customFormat="1" ht="17.100000000000001" customHeight="1" thickBot="1" x14ac:dyDescent="0.3">
      <c r="A56" s="12"/>
      <c r="B56" s="24"/>
      <c r="C56" s="24"/>
      <c r="D56" s="24"/>
      <c r="E56" s="3"/>
      <c r="F56" s="9"/>
      <c r="G56" s="10"/>
      <c r="H56" s="3"/>
      <c r="I56" s="3"/>
      <c r="J56" s="3"/>
      <c r="K56" s="3"/>
      <c r="L56" s="3"/>
      <c r="M56" s="11"/>
      <c r="N56" s="11"/>
      <c r="O56" s="11"/>
      <c r="P56" s="3"/>
      <c r="Q56" s="12"/>
      <c r="R56" s="12"/>
      <c r="S56" s="12"/>
      <c r="T56" s="12"/>
      <c r="U56" s="12"/>
      <c r="V56" s="25"/>
      <c r="W56" s="34"/>
      <c r="X56" s="10"/>
      <c r="Y56" s="110"/>
      <c r="Z56" s="36"/>
      <c r="AA56" s="36"/>
      <c r="AB56" s="7"/>
      <c r="AC56" s="33"/>
      <c r="AD56" s="33"/>
      <c r="AE56" s="33"/>
      <c r="AF56" s="7"/>
      <c r="AG56" s="33"/>
      <c r="AH56" s="314">
        <f>SUM(AH48:AH55)</f>
        <v>15475000</v>
      </c>
      <c r="AI56" s="314">
        <f>SUM(AI48:AI55)</f>
        <v>7900000</v>
      </c>
      <c r="AJ56" s="314">
        <f>SUM(AJ48:AJ55)</f>
        <v>90000000</v>
      </c>
      <c r="AK56" s="36"/>
      <c r="AL56" s="7"/>
      <c r="AM56" s="36"/>
      <c r="AN56" s="7"/>
      <c r="AO56" s="36"/>
      <c r="AP56" s="36"/>
      <c r="AQ56" s="7"/>
      <c r="AR56" s="7"/>
      <c r="AS56" s="7"/>
      <c r="AT56" s="36"/>
      <c r="AU56" s="36"/>
      <c r="AV56" s="7"/>
      <c r="AW56" s="36"/>
      <c r="AX56" s="36"/>
      <c r="AY56" s="7"/>
      <c r="AZ56" s="36"/>
      <c r="BA56" s="36"/>
      <c r="BB56" s="7"/>
      <c r="BC56" s="36"/>
      <c r="BD56" s="7"/>
      <c r="BE56" s="36"/>
      <c r="BF56" s="7"/>
      <c r="BG56" s="36"/>
      <c r="BH56" s="7"/>
      <c r="BI56" s="36"/>
      <c r="BJ56" s="7"/>
      <c r="BK56" s="36"/>
      <c r="BL56" s="7"/>
      <c r="BM56" s="36"/>
      <c r="BN56" s="7"/>
      <c r="BO56" s="36"/>
      <c r="BP56" s="14"/>
      <c r="BQ56" s="14"/>
      <c r="BR56" s="7"/>
      <c r="BS56" s="7"/>
      <c r="BT56" s="7"/>
      <c r="BU56" s="15"/>
      <c r="BV56" s="15"/>
      <c r="BW56" s="291"/>
      <c r="BX56" s="291"/>
      <c r="BY56" s="33"/>
      <c r="BZ56" s="36"/>
    </row>
    <row r="57" spans="1:78" s="1" customFormat="1" ht="17.100000000000001" customHeight="1" x14ac:dyDescent="0.25">
      <c r="A57" s="12"/>
      <c r="B57" s="24"/>
      <c r="C57" s="24"/>
      <c r="D57" s="24"/>
      <c r="E57" s="3"/>
      <c r="F57" s="9"/>
      <c r="G57" s="10"/>
      <c r="H57" s="3"/>
      <c r="I57" s="3"/>
      <c r="J57" s="3"/>
      <c r="K57" s="3"/>
      <c r="L57" s="3"/>
      <c r="M57" s="11"/>
      <c r="N57" s="11"/>
      <c r="O57" s="11"/>
      <c r="P57" s="3"/>
      <c r="Q57" s="12"/>
      <c r="R57" s="12"/>
      <c r="S57" s="12"/>
      <c r="T57" s="12"/>
      <c r="U57" s="12"/>
      <c r="V57" s="25"/>
      <c r="W57" s="34"/>
      <c r="X57" s="10"/>
      <c r="Y57" s="110"/>
      <c r="Z57" s="36"/>
      <c r="AA57" s="36"/>
      <c r="AB57" s="7"/>
      <c r="AC57" s="33"/>
      <c r="AD57" s="33"/>
      <c r="AE57" s="33"/>
      <c r="AF57" s="7"/>
      <c r="AG57" s="33"/>
      <c r="AH57" s="312"/>
      <c r="AI57" s="312"/>
      <c r="AJ57" s="312"/>
      <c r="AK57" s="36"/>
      <c r="AL57" s="7"/>
      <c r="AM57" s="36"/>
      <c r="AN57" s="7"/>
      <c r="AO57" s="36"/>
      <c r="AP57" s="36"/>
      <c r="AQ57" s="7"/>
      <c r="AR57" s="7"/>
      <c r="AS57" s="7"/>
      <c r="AT57" s="36"/>
      <c r="AU57" s="36"/>
      <c r="AV57" s="7"/>
      <c r="AW57" s="36"/>
      <c r="AX57" s="36"/>
      <c r="AY57" s="7"/>
      <c r="AZ57" s="36"/>
      <c r="BA57" s="36"/>
      <c r="BB57" s="7"/>
      <c r="BC57" s="36"/>
      <c r="BD57" s="7"/>
      <c r="BE57" s="36"/>
      <c r="BF57" s="7"/>
      <c r="BG57" s="36"/>
      <c r="BH57" s="7"/>
      <c r="BI57" s="36"/>
      <c r="BJ57" s="7"/>
      <c r="BK57" s="36"/>
      <c r="BL57" s="7"/>
      <c r="BM57" s="36"/>
      <c r="BN57" s="7"/>
      <c r="BO57" s="36"/>
      <c r="BP57" s="14"/>
      <c r="BQ57" s="14"/>
      <c r="BR57" s="7"/>
      <c r="BS57" s="7"/>
      <c r="BT57" s="7"/>
      <c r="BU57" s="15"/>
      <c r="BV57" s="15"/>
      <c r="BW57" s="291"/>
      <c r="BX57" s="291"/>
      <c r="BY57" s="33"/>
      <c r="BZ57" s="36"/>
    </row>
    <row r="58" spans="1:78" s="1" customFormat="1" ht="15" customHeight="1" x14ac:dyDescent="0.2">
      <c r="A58" s="12" t="s">
        <v>7</v>
      </c>
      <c r="B58" s="24" t="s">
        <v>62</v>
      </c>
      <c r="C58" s="24" t="s">
        <v>227</v>
      </c>
      <c r="D58" s="24" t="s">
        <v>13</v>
      </c>
      <c r="E58" s="3">
        <v>255005</v>
      </c>
      <c r="F58" s="9"/>
      <c r="G58" s="10"/>
      <c r="H58" s="3"/>
      <c r="I58" s="3"/>
      <c r="J58" s="3"/>
      <c r="K58" s="3"/>
      <c r="L58" s="3"/>
      <c r="M58" s="11"/>
      <c r="N58" s="11"/>
      <c r="O58" s="11"/>
      <c r="P58" s="3"/>
      <c r="Q58" s="12"/>
      <c r="R58" s="12"/>
      <c r="S58" s="12"/>
      <c r="T58" s="12"/>
      <c r="U58" s="12"/>
      <c r="V58" s="25"/>
      <c r="W58" s="34"/>
      <c r="X58" s="10" t="s">
        <v>474</v>
      </c>
      <c r="Y58" s="110" t="s">
        <v>460</v>
      </c>
      <c r="Z58" s="36"/>
      <c r="AA58" s="36"/>
      <c r="AB58" s="7"/>
      <c r="AC58" s="33"/>
      <c r="AD58" s="33"/>
      <c r="AE58" s="33"/>
      <c r="AF58" s="7"/>
      <c r="AG58" s="33"/>
      <c r="AH58" s="36">
        <v>3109500</v>
      </c>
      <c r="AI58" s="36">
        <v>2551000</v>
      </c>
      <c r="AJ58" s="33">
        <v>65000000</v>
      </c>
      <c r="AK58" s="36"/>
      <c r="AL58" s="7"/>
      <c r="AM58" s="36"/>
      <c r="AN58" s="7"/>
      <c r="AO58" s="36"/>
      <c r="AP58" s="36"/>
      <c r="AQ58" s="7"/>
      <c r="AR58" s="7"/>
      <c r="AS58" s="7"/>
      <c r="AT58" s="36"/>
      <c r="AU58" s="36"/>
      <c r="AV58" s="7"/>
      <c r="AW58" s="36"/>
      <c r="AX58" s="36"/>
      <c r="AY58" s="7"/>
      <c r="AZ58" s="36"/>
      <c r="BA58" s="36"/>
      <c r="BB58" s="7"/>
      <c r="BC58" s="36"/>
      <c r="BD58" s="7"/>
      <c r="BE58" s="36"/>
      <c r="BF58" s="7"/>
      <c r="BG58" s="36"/>
      <c r="BH58" s="7"/>
      <c r="BI58" s="36"/>
      <c r="BJ58" s="7"/>
      <c r="BK58" s="36"/>
      <c r="BL58" s="7"/>
      <c r="BM58" s="36"/>
      <c r="BN58" s="7"/>
      <c r="BO58" s="36"/>
      <c r="BP58" s="14"/>
      <c r="BQ58" s="14"/>
      <c r="BR58" s="7"/>
      <c r="BS58" s="7"/>
      <c r="BT58" s="7"/>
      <c r="BU58" s="15"/>
      <c r="BV58" s="15"/>
      <c r="BW58" s="291"/>
      <c r="BX58" s="291"/>
      <c r="BY58" s="33"/>
      <c r="BZ58" s="36"/>
    </row>
    <row r="59" spans="1:78" s="1" customFormat="1" ht="15" customHeight="1" x14ac:dyDescent="0.2">
      <c r="A59" s="12" t="s">
        <v>7</v>
      </c>
      <c r="B59" s="24" t="s">
        <v>62</v>
      </c>
      <c r="C59" s="24" t="s">
        <v>227</v>
      </c>
      <c r="D59" s="24" t="s">
        <v>13</v>
      </c>
      <c r="E59" s="3">
        <v>255005</v>
      </c>
      <c r="F59" s="9" t="s">
        <v>13</v>
      </c>
      <c r="G59" s="10" t="s">
        <v>13</v>
      </c>
      <c r="H59" s="3">
        <v>4</v>
      </c>
      <c r="I59" s="3">
        <v>36</v>
      </c>
      <c r="J59" s="3">
        <v>1402</v>
      </c>
      <c r="K59" s="3" t="s">
        <v>186</v>
      </c>
      <c r="L59" s="3" t="s">
        <v>189</v>
      </c>
      <c r="M59" s="11" t="s">
        <v>187</v>
      </c>
      <c r="N59" s="11" t="s">
        <v>187</v>
      </c>
      <c r="O59" s="11" t="s">
        <v>193</v>
      </c>
      <c r="P59" s="3" t="s">
        <v>188</v>
      </c>
      <c r="Q59" s="12" t="s">
        <v>110</v>
      </c>
      <c r="R59" s="12" t="s">
        <v>222</v>
      </c>
      <c r="S59" s="12"/>
      <c r="T59" s="12" t="s">
        <v>36</v>
      </c>
      <c r="U59" s="12" t="s">
        <v>13</v>
      </c>
      <c r="V59" s="25" t="s">
        <v>69</v>
      </c>
      <c r="W59" s="111">
        <v>23</v>
      </c>
      <c r="X59" s="9" t="s">
        <v>152</v>
      </c>
      <c r="Y59" s="110" t="s">
        <v>37</v>
      </c>
      <c r="Z59" s="33">
        <v>3000000</v>
      </c>
      <c r="AA59" s="33"/>
      <c r="AB59" s="7">
        <f t="shared" si="0"/>
        <v>3000000</v>
      </c>
      <c r="AC59" s="33"/>
      <c r="AD59" s="33">
        <f>AB59+AC59</f>
        <v>3000000</v>
      </c>
      <c r="AE59" s="33">
        <v>-1000000</v>
      </c>
      <c r="AF59" s="7">
        <f>+AD59+AE59</f>
        <v>2000000</v>
      </c>
      <c r="AG59" s="33"/>
      <c r="AH59" s="33">
        <v>10000000</v>
      </c>
      <c r="AI59" s="33">
        <v>13500000</v>
      </c>
      <c r="AJ59" s="33">
        <v>13500000</v>
      </c>
      <c r="AK59" s="33"/>
      <c r="AL59" s="7">
        <f t="shared" si="1"/>
        <v>0</v>
      </c>
      <c r="AM59" s="33"/>
      <c r="AN59" s="7">
        <f t="shared" si="2"/>
        <v>0</v>
      </c>
      <c r="AO59" s="33"/>
      <c r="AP59" s="33">
        <v>0</v>
      </c>
      <c r="AQ59" s="7">
        <f t="shared" si="3"/>
        <v>0</v>
      </c>
      <c r="AR59" s="7">
        <f t="shared" si="4"/>
        <v>0</v>
      </c>
      <c r="AS59" s="7">
        <f t="shared" si="5"/>
        <v>0</v>
      </c>
      <c r="AT59" s="33"/>
      <c r="AU59" s="33"/>
      <c r="AV59" s="7">
        <f t="shared" si="6"/>
        <v>0</v>
      </c>
      <c r="AW59" s="33"/>
      <c r="AX59" s="33">
        <v>382.04</v>
      </c>
      <c r="AY59" s="7">
        <f t="shared" si="7"/>
        <v>382.04</v>
      </c>
      <c r="AZ59" s="33"/>
      <c r="BA59" s="33"/>
      <c r="BB59" s="7">
        <f>AZ59+BA59</f>
        <v>0</v>
      </c>
      <c r="BC59" s="33"/>
      <c r="BD59" s="7">
        <f t="shared" si="8"/>
        <v>0</v>
      </c>
      <c r="BE59" s="33"/>
      <c r="BF59" s="7">
        <f t="shared" si="9"/>
        <v>0</v>
      </c>
      <c r="BG59" s="33"/>
      <c r="BH59" s="7">
        <f t="shared" si="10"/>
        <v>0</v>
      </c>
      <c r="BI59" s="33"/>
      <c r="BJ59" s="7">
        <f t="shared" si="11"/>
        <v>0</v>
      </c>
      <c r="BK59" s="33"/>
      <c r="BL59" s="7">
        <f t="shared" si="12"/>
        <v>0</v>
      </c>
      <c r="BM59" s="33"/>
      <c r="BN59" s="7">
        <f t="shared" si="13"/>
        <v>0</v>
      </c>
      <c r="BO59" s="33"/>
      <c r="BP59" s="14">
        <f t="shared" si="14"/>
        <v>0</v>
      </c>
      <c r="BQ59" s="14">
        <f>AL59+AN59+AQ59+AV59+AY59+BB59</f>
        <v>382.04</v>
      </c>
      <c r="BR59" s="7"/>
      <c r="BS59" s="7">
        <f>AD59-BP59</f>
        <v>3000000</v>
      </c>
      <c r="BT59" s="7">
        <f>AD59-BQ59</f>
        <v>2999617.96</v>
      </c>
      <c r="BU59" s="15">
        <f>BP59/AD59</f>
        <v>0</v>
      </c>
      <c r="BV59" s="15">
        <f>BQ59/AD59</f>
        <v>1.2734666666666666E-4</v>
      </c>
      <c r="BW59" s="33">
        <v>16500000</v>
      </c>
      <c r="BX59" s="33"/>
      <c r="BY59" s="33"/>
      <c r="BZ59" s="36"/>
    </row>
    <row r="60" spans="1:78" s="1" customFormat="1" ht="15" customHeight="1" x14ac:dyDescent="0.2">
      <c r="A60" s="12" t="s">
        <v>7</v>
      </c>
      <c r="B60" s="24" t="s">
        <v>62</v>
      </c>
      <c r="C60" s="24" t="s">
        <v>227</v>
      </c>
      <c r="D60" s="24"/>
      <c r="E60" s="3">
        <v>255005</v>
      </c>
      <c r="F60" s="9" t="s">
        <v>13</v>
      </c>
      <c r="G60" s="10" t="s">
        <v>13</v>
      </c>
      <c r="H60" s="3">
        <v>4</v>
      </c>
      <c r="I60" s="3">
        <v>35</v>
      </c>
      <c r="J60" s="3">
        <v>1410</v>
      </c>
      <c r="K60" s="3" t="s">
        <v>186</v>
      </c>
      <c r="L60" s="3" t="s">
        <v>189</v>
      </c>
      <c r="M60" s="11" t="s">
        <v>187</v>
      </c>
      <c r="N60" s="11" t="s">
        <v>187</v>
      </c>
      <c r="O60" s="11" t="s">
        <v>193</v>
      </c>
      <c r="P60" s="3" t="s">
        <v>188</v>
      </c>
      <c r="Q60" s="12" t="s">
        <v>110</v>
      </c>
      <c r="R60" s="12" t="s">
        <v>222</v>
      </c>
      <c r="S60" s="12"/>
      <c r="T60" s="12" t="s">
        <v>36</v>
      </c>
      <c r="U60" s="12" t="s">
        <v>13</v>
      </c>
      <c r="V60" s="25" t="s">
        <v>69</v>
      </c>
      <c r="W60" s="34"/>
      <c r="X60" s="24" t="s">
        <v>169</v>
      </c>
      <c r="Y60" s="110" t="s">
        <v>38</v>
      </c>
      <c r="Z60" s="33">
        <v>0</v>
      </c>
      <c r="AA60" s="33"/>
      <c r="AB60" s="7">
        <f t="shared" si="0"/>
        <v>0</v>
      </c>
      <c r="AC60" s="33"/>
      <c r="AD60" s="33">
        <f>AB60+AC60</f>
        <v>0</v>
      </c>
      <c r="AE60" s="33"/>
      <c r="AF60" s="7">
        <f>+AD60+AE60</f>
        <v>0</v>
      </c>
      <c r="AG60" s="33"/>
      <c r="AH60" s="33">
        <v>0</v>
      </c>
      <c r="AI60" s="33">
        <v>8500000</v>
      </c>
      <c r="AJ60" s="33">
        <v>0</v>
      </c>
      <c r="AK60" s="33"/>
      <c r="AL60" s="7">
        <f t="shared" si="1"/>
        <v>0</v>
      </c>
      <c r="AM60" s="33"/>
      <c r="AN60" s="7">
        <f t="shared" si="2"/>
        <v>0</v>
      </c>
      <c r="AO60" s="33"/>
      <c r="AP60" s="33"/>
      <c r="AQ60" s="7">
        <f t="shared" si="3"/>
        <v>0</v>
      </c>
      <c r="AR60" s="7">
        <f t="shared" si="4"/>
        <v>0</v>
      </c>
      <c r="AS60" s="7">
        <f t="shared" si="5"/>
        <v>0</v>
      </c>
      <c r="AT60" s="33"/>
      <c r="AU60" s="33"/>
      <c r="AV60" s="7">
        <f t="shared" si="6"/>
        <v>0</v>
      </c>
      <c r="AW60" s="33"/>
      <c r="AX60" s="33"/>
      <c r="AY60" s="7">
        <f t="shared" si="7"/>
        <v>0</v>
      </c>
      <c r="AZ60" s="33"/>
      <c r="BA60" s="33"/>
      <c r="BB60" s="7">
        <f>AZ60+BA60</f>
        <v>0</v>
      </c>
      <c r="BC60" s="33"/>
      <c r="BD60" s="7">
        <f t="shared" si="8"/>
        <v>0</v>
      </c>
      <c r="BE60" s="33"/>
      <c r="BF60" s="7">
        <f t="shared" si="9"/>
        <v>0</v>
      </c>
      <c r="BG60" s="33"/>
      <c r="BH60" s="7">
        <f t="shared" si="10"/>
        <v>0</v>
      </c>
      <c r="BI60" s="33"/>
      <c r="BJ60" s="7">
        <f t="shared" si="11"/>
        <v>0</v>
      </c>
      <c r="BK60" s="33"/>
      <c r="BL60" s="7">
        <f t="shared" si="12"/>
        <v>0</v>
      </c>
      <c r="BM60" s="33"/>
      <c r="BN60" s="7">
        <f t="shared" si="13"/>
        <v>0</v>
      </c>
      <c r="BO60" s="33"/>
      <c r="BP60" s="14">
        <f t="shared" si="14"/>
        <v>0</v>
      </c>
      <c r="BQ60" s="14">
        <f>AL60+AN60+AQ60+AV60+AY60+BB60</f>
        <v>0</v>
      </c>
      <c r="BR60" s="7"/>
      <c r="BS60" s="7">
        <f>AD60-BP60</f>
        <v>0</v>
      </c>
      <c r="BT60" s="7">
        <f>AD60-BQ60</f>
        <v>0</v>
      </c>
      <c r="BU60" s="15" t="e">
        <f>BP60/AD60</f>
        <v>#DIV/0!</v>
      </c>
      <c r="BV60" s="15" t="e">
        <f>BQ60/AD60</f>
        <v>#DIV/0!</v>
      </c>
      <c r="BW60" s="291"/>
      <c r="BX60" s="291"/>
      <c r="BY60" s="33"/>
      <c r="BZ60" s="36"/>
    </row>
    <row r="61" spans="1:78" s="1" customFormat="1" ht="17.100000000000001" customHeight="1" thickBot="1" x14ac:dyDescent="0.3">
      <c r="A61" s="12"/>
      <c r="B61" s="24"/>
      <c r="C61" s="24"/>
      <c r="D61" s="24"/>
      <c r="E61" s="3"/>
      <c r="F61" s="9"/>
      <c r="G61" s="10"/>
      <c r="H61" s="3"/>
      <c r="I61" s="3"/>
      <c r="J61" s="3"/>
      <c r="K61" s="11"/>
      <c r="L61" s="11"/>
      <c r="M61" s="11"/>
      <c r="N61" s="11"/>
      <c r="O61" s="11"/>
      <c r="P61" s="11"/>
      <c r="Q61" s="12"/>
      <c r="R61" s="12"/>
      <c r="S61" s="12"/>
      <c r="T61" s="12"/>
      <c r="U61" s="12"/>
      <c r="V61" s="13"/>
      <c r="W61" s="34"/>
      <c r="X61" s="24"/>
      <c r="Y61" s="110"/>
      <c r="Z61" s="33"/>
      <c r="AA61" s="33"/>
      <c r="AB61" s="7"/>
      <c r="AC61" s="33"/>
      <c r="AD61" s="33"/>
      <c r="AE61" s="33"/>
      <c r="AF61" s="7"/>
      <c r="AG61" s="33"/>
      <c r="AH61" s="315">
        <f>SUM(AH58:AH60)</f>
        <v>13109500</v>
      </c>
      <c r="AI61" s="315">
        <f>SUM(AI58:AI60)</f>
        <v>24551000</v>
      </c>
      <c r="AJ61" s="315">
        <f>SUM(AJ58:AJ60)</f>
        <v>78500000</v>
      </c>
      <c r="AK61" s="33"/>
      <c r="AL61" s="7"/>
      <c r="AM61" s="33"/>
      <c r="AN61" s="7"/>
      <c r="AO61" s="33"/>
      <c r="AP61" s="33"/>
      <c r="AQ61" s="7"/>
      <c r="AR61" s="7"/>
      <c r="AS61" s="7"/>
      <c r="AT61" s="33"/>
      <c r="AU61" s="33"/>
      <c r="AV61" s="7"/>
      <c r="AW61" s="33"/>
      <c r="AX61" s="33"/>
      <c r="AY61" s="7"/>
      <c r="AZ61" s="33"/>
      <c r="BA61" s="33"/>
      <c r="BB61" s="7"/>
      <c r="BC61" s="33"/>
      <c r="BD61" s="7"/>
      <c r="BE61" s="33"/>
      <c r="BF61" s="7"/>
      <c r="BG61" s="33"/>
      <c r="BH61" s="7"/>
      <c r="BI61" s="33"/>
      <c r="BJ61" s="7"/>
      <c r="BK61" s="33"/>
      <c r="BL61" s="7"/>
      <c r="BM61" s="33"/>
      <c r="BN61" s="7"/>
      <c r="BO61" s="33"/>
      <c r="BP61" s="14"/>
      <c r="BQ61" s="14"/>
      <c r="BR61" s="7"/>
      <c r="BS61" s="7"/>
      <c r="BT61" s="7"/>
      <c r="BU61" s="15"/>
      <c r="BV61" s="15"/>
      <c r="BW61" s="291"/>
      <c r="BX61" s="291"/>
      <c r="BY61" s="33"/>
      <c r="BZ61" s="36"/>
    </row>
    <row r="62" spans="1:78" s="1" customFormat="1" ht="15" customHeight="1" x14ac:dyDescent="0.2">
      <c r="A62" s="12"/>
      <c r="B62" s="24"/>
      <c r="C62" s="24"/>
      <c r="D62" s="24"/>
      <c r="E62" s="3"/>
      <c r="F62" s="9"/>
      <c r="G62" s="10"/>
      <c r="H62" s="3"/>
      <c r="I62" s="3"/>
      <c r="J62" s="3"/>
      <c r="K62" s="11"/>
      <c r="L62" s="11"/>
      <c r="M62" s="11"/>
      <c r="N62" s="11"/>
      <c r="O62" s="11"/>
      <c r="P62" s="11"/>
      <c r="Q62" s="12"/>
      <c r="R62" s="12"/>
      <c r="S62" s="12"/>
      <c r="T62" s="12"/>
      <c r="U62" s="12"/>
      <c r="V62" s="13"/>
      <c r="W62" s="34"/>
      <c r="X62" s="24"/>
      <c r="Y62" s="110"/>
      <c r="Z62" s="33"/>
      <c r="AA62" s="33"/>
      <c r="AB62" s="7"/>
      <c r="AC62" s="33"/>
      <c r="AD62" s="33"/>
      <c r="AE62" s="33"/>
      <c r="AF62" s="7"/>
      <c r="AG62" s="33"/>
      <c r="AH62" s="33"/>
      <c r="AI62" s="33"/>
      <c r="AJ62" s="33"/>
      <c r="AK62" s="33"/>
      <c r="AL62" s="7"/>
      <c r="AM62" s="33"/>
      <c r="AN62" s="7"/>
      <c r="AO62" s="33"/>
      <c r="AP62" s="33"/>
      <c r="AQ62" s="7"/>
      <c r="AR62" s="7"/>
      <c r="AS62" s="7"/>
      <c r="AT62" s="33"/>
      <c r="AU62" s="33"/>
      <c r="AV62" s="7"/>
      <c r="AW62" s="33"/>
      <c r="AX62" s="33"/>
      <c r="AY62" s="7"/>
      <c r="AZ62" s="33"/>
      <c r="BA62" s="33"/>
      <c r="BB62" s="7"/>
      <c r="BC62" s="33"/>
      <c r="BD62" s="7"/>
      <c r="BE62" s="33"/>
      <c r="BF62" s="7"/>
      <c r="BG62" s="33"/>
      <c r="BH62" s="7"/>
      <c r="BI62" s="33"/>
      <c r="BJ62" s="7"/>
      <c r="BK62" s="33"/>
      <c r="BL62" s="7"/>
      <c r="BM62" s="33"/>
      <c r="BN62" s="7"/>
      <c r="BO62" s="33"/>
      <c r="BP62" s="14"/>
      <c r="BQ62" s="14"/>
      <c r="BR62" s="7"/>
      <c r="BS62" s="7"/>
      <c r="BT62" s="7"/>
      <c r="BU62" s="15"/>
      <c r="BV62" s="15"/>
      <c r="BW62" s="291"/>
      <c r="BX62" s="291"/>
      <c r="BY62" s="33"/>
      <c r="BZ62" s="36"/>
    </row>
    <row r="63" spans="1:78" s="1" customFormat="1" ht="15" customHeight="1" x14ac:dyDescent="0.25">
      <c r="A63" s="12" t="s">
        <v>7</v>
      </c>
      <c r="B63" s="24" t="s">
        <v>62</v>
      </c>
      <c r="C63" s="24" t="s">
        <v>227</v>
      </c>
      <c r="D63" s="24" t="s">
        <v>13</v>
      </c>
      <c r="E63" s="3">
        <v>255005</v>
      </c>
      <c r="F63" s="9" t="s">
        <v>13</v>
      </c>
      <c r="G63" s="10" t="s">
        <v>13</v>
      </c>
      <c r="H63" s="3">
        <v>4</v>
      </c>
      <c r="I63" s="3">
        <v>36</v>
      </c>
      <c r="J63" s="3">
        <v>1419</v>
      </c>
      <c r="K63" s="3" t="s">
        <v>186</v>
      </c>
      <c r="L63" s="3" t="s">
        <v>189</v>
      </c>
      <c r="M63" s="11" t="s">
        <v>187</v>
      </c>
      <c r="N63" s="11" t="s">
        <v>187</v>
      </c>
      <c r="O63" s="11" t="s">
        <v>193</v>
      </c>
      <c r="P63" s="3" t="s">
        <v>188</v>
      </c>
      <c r="Q63" s="12" t="s">
        <v>110</v>
      </c>
      <c r="R63" s="12" t="s">
        <v>222</v>
      </c>
      <c r="S63" s="12"/>
      <c r="T63" s="12" t="s">
        <v>36</v>
      </c>
      <c r="U63" s="12" t="s">
        <v>13</v>
      </c>
      <c r="V63" s="25" t="s">
        <v>69</v>
      </c>
      <c r="W63" s="34">
        <v>1</v>
      </c>
      <c r="X63" s="24" t="s">
        <v>133</v>
      </c>
      <c r="Y63" s="110" t="s">
        <v>37</v>
      </c>
      <c r="Z63" s="33">
        <v>500000</v>
      </c>
      <c r="AA63" s="33"/>
      <c r="AB63" s="7">
        <f>Z63+AA63</f>
        <v>500000</v>
      </c>
      <c r="AC63" s="33">
        <v>1831500</v>
      </c>
      <c r="AD63" s="33">
        <f>AB63+AC63</f>
        <v>2331500</v>
      </c>
      <c r="AE63" s="33"/>
      <c r="AF63" s="7">
        <f>+AD63+AE63</f>
        <v>2331500</v>
      </c>
      <c r="AG63" s="33"/>
      <c r="AH63" s="313">
        <v>100000</v>
      </c>
      <c r="AI63" s="313">
        <v>0</v>
      </c>
      <c r="AJ63" s="313">
        <v>0</v>
      </c>
      <c r="AK63" s="33"/>
      <c r="AL63" s="7">
        <f>AK63</f>
        <v>0</v>
      </c>
      <c r="AM63" s="33"/>
      <c r="AN63" s="7">
        <f>AM63</f>
        <v>0</v>
      </c>
      <c r="AO63" s="33"/>
      <c r="AP63" s="33">
        <v>0</v>
      </c>
      <c r="AQ63" s="7">
        <f>AO63+AP63</f>
        <v>0</v>
      </c>
      <c r="AR63" s="7">
        <f>AK63+AM63+AO63</f>
        <v>0</v>
      </c>
      <c r="AS63" s="7">
        <f>AL63+AN63+AQ63</f>
        <v>0</v>
      </c>
      <c r="AT63" s="33"/>
      <c r="AU63" s="33"/>
      <c r="AV63" s="7">
        <f>AT63+AU63</f>
        <v>0</v>
      </c>
      <c r="AW63" s="33"/>
      <c r="AX63" s="33">
        <v>295.58</v>
      </c>
      <c r="AY63" s="7">
        <f>AW63+AX63</f>
        <v>295.58</v>
      </c>
      <c r="AZ63" s="33"/>
      <c r="BA63" s="33"/>
      <c r="BB63" s="7">
        <f>AZ63+BA63</f>
        <v>0</v>
      </c>
      <c r="BC63" s="33"/>
      <c r="BD63" s="7">
        <f>BC63</f>
        <v>0</v>
      </c>
      <c r="BE63" s="33"/>
      <c r="BF63" s="7">
        <f>BE63</f>
        <v>0</v>
      </c>
      <c r="BG63" s="33"/>
      <c r="BH63" s="7">
        <f>BG63</f>
        <v>0</v>
      </c>
      <c r="BI63" s="33"/>
      <c r="BJ63" s="7">
        <f>BI63</f>
        <v>0</v>
      </c>
      <c r="BK63" s="33"/>
      <c r="BL63" s="7">
        <f>BK63</f>
        <v>0</v>
      </c>
      <c r="BM63" s="33"/>
      <c r="BN63" s="7">
        <f>BM63</f>
        <v>0</v>
      </c>
      <c r="BO63" s="33">
        <v>175180.32</v>
      </c>
      <c r="BP63" s="14">
        <f>AK63+AM63+AO63+AT63+AW63+AZ63+BC63+BE63+BG63+BI63+BK63+BM63</f>
        <v>0</v>
      </c>
      <c r="BQ63" s="14">
        <f>AL63+AN63+AQ63+AV63+AY63+BB63</f>
        <v>295.58</v>
      </c>
      <c r="BR63" s="7"/>
      <c r="BS63" s="7">
        <f>AD63-BP63</f>
        <v>2331500</v>
      </c>
      <c r="BT63" s="7">
        <f>AD63-BQ63</f>
        <v>2331204.42</v>
      </c>
      <c r="BU63" s="15">
        <f>BP63/AD63</f>
        <v>0</v>
      </c>
      <c r="BV63" s="15">
        <f>BQ63/AD63</f>
        <v>1.2677675316319966E-4</v>
      </c>
      <c r="BW63" s="33"/>
      <c r="BX63" s="33"/>
      <c r="BY63" s="33"/>
      <c r="BZ63" s="36"/>
    </row>
    <row r="64" spans="1:78" s="1" customFormat="1" ht="15" customHeight="1" x14ac:dyDescent="0.2">
      <c r="A64" s="12"/>
      <c r="B64" s="24"/>
      <c r="C64" s="24"/>
      <c r="D64" s="24"/>
      <c r="E64" s="3"/>
      <c r="F64" s="9"/>
      <c r="G64" s="10"/>
      <c r="H64" s="3"/>
      <c r="I64" s="3"/>
      <c r="J64" s="3"/>
      <c r="K64" s="11"/>
      <c r="L64" s="11"/>
      <c r="M64" s="11"/>
      <c r="N64" s="11"/>
      <c r="O64" s="11"/>
      <c r="P64" s="11"/>
      <c r="Q64" s="12"/>
      <c r="R64" s="12"/>
      <c r="S64" s="12"/>
      <c r="T64" s="12"/>
      <c r="U64" s="12"/>
      <c r="V64" s="13"/>
      <c r="W64" s="34"/>
      <c r="X64" s="24"/>
      <c r="Y64" s="110"/>
      <c r="Z64" s="33"/>
      <c r="AA64" s="33"/>
      <c r="AB64" s="7"/>
      <c r="AC64" s="33"/>
      <c r="AD64" s="33"/>
      <c r="AE64" s="33"/>
      <c r="AF64" s="7"/>
      <c r="AG64" s="33"/>
      <c r="AH64" s="33"/>
      <c r="AI64" s="33"/>
      <c r="AJ64" s="33"/>
      <c r="AK64" s="33"/>
      <c r="AL64" s="7"/>
      <c r="AM64" s="33"/>
      <c r="AN64" s="7"/>
      <c r="AO64" s="33"/>
      <c r="AP64" s="33"/>
      <c r="AQ64" s="7"/>
      <c r="AR64" s="7"/>
      <c r="AS64" s="7"/>
      <c r="AT64" s="33"/>
      <c r="AU64" s="33"/>
      <c r="AV64" s="7"/>
      <c r="AW64" s="33"/>
      <c r="AX64" s="33"/>
      <c r="AY64" s="7"/>
      <c r="AZ64" s="33"/>
      <c r="BA64" s="33"/>
      <c r="BB64" s="7"/>
      <c r="BC64" s="33"/>
      <c r="BD64" s="7"/>
      <c r="BE64" s="33"/>
      <c r="BF64" s="7"/>
      <c r="BG64" s="33"/>
      <c r="BH64" s="7"/>
      <c r="BI64" s="33"/>
      <c r="BJ64" s="7"/>
      <c r="BK64" s="33"/>
      <c r="BL64" s="7"/>
      <c r="BM64" s="33"/>
      <c r="BN64" s="7"/>
      <c r="BO64" s="33"/>
      <c r="BP64" s="14"/>
      <c r="BQ64" s="14"/>
      <c r="BR64" s="7"/>
      <c r="BS64" s="7"/>
      <c r="BT64" s="7"/>
      <c r="BU64" s="15"/>
      <c r="BV64" s="15"/>
      <c r="BW64" s="291"/>
      <c r="BX64" s="291"/>
      <c r="BY64" s="33"/>
      <c r="BZ64" s="36"/>
    </row>
    <row r="65" spans="1:79" s="1" customFormat="1" ht="15" customHeight="1" x14ac:dyDescent="0.2">
      <c r="A65" s="12" t="s">
        <v>7</v>
      </c>
      <c r="B65" s="24" t="s">
        <v>62</v>
      </c>
      <c r="C65" s="24" t="s">
        <v>227</v>
      </c>
      <c r="D65" s="24" t="s">
        <v>13</v>
      </c>
      <c r="E65" s="3">
        <v>255005</v>
      </c>
      <c r="F65" s="9" t="s">
        <v>13</v>
      </c>
      <c r="G65" s="10" t="s">
        <v>13</v>
      </c>
      <c r="H65" s="3">
        <v>4</v>
      </c>
      <c r="I65" s="3">
        <v>36</v>
      </c>
      <c r="J65" s="3">
        <v>1404</v>
      </c>
      <c r="K65" s="3" t="s">
        <v>186</v>
      </c>
      <c r="L65" s="3" t="s">
        <v>189</v>
      </c>
      <c r="M65" s="11" t="s">
        <v>187</v>
      </c>
      <c r="N65" s="11" t="s">
        <v>187</v>
      </c>
      <c r="O65" s="11" t="s">
        <v>193</v>
      </c>
      <c r="P65" s="3" t="s">
        <v>188</v>
      </c>
      <c r="Q65" s="12" t="s">
        <v>110</v>
      </c>
      <c r="R65" s="12" t="s">
        <v>222</v>
      </c>
      <c r="S65" s="12"/>
      <c r="T65" s="12" t="s">
        <v>36</v>
      </c>
      <c r="U65" s="12" t="s">
        <v>13</v>
      </c>
      <c r="V65" s="25" t="s">
        <v>69</v>
      </c>
      <c r="W65" s="111">
        <v>19</v>
      </c>
      <c r="X65" s="24" t="s">
        <v>153</v>
      </c>
      <c r="Y65" s="110" t="s">
        <v>37</v>
      </c>
      <c r="Z65" s="33">
        <v>8000000</v>
      </c>
      <c r="AA65" s="33"/>
      <c r="AB65" s="7">
        <f>Z65+AA65</f>
        <v>8000000</v>
      </c>
      <c r="AC65" s="33">
        <v>1800000</v>
      </c>
      <c r="AD65" s="33">
        <f>AB65+AC65</f>
        <v>9800000</v>
      </c>
      <c r="AE65" s="33"/>
      <c r="AF65" s="7">
        <f>+AD65+AE65</f>
        <v>9800000</v>
      </c>
      <c r="AG65" s="33"/>
      <c r="AH65" s="33">
        <v>100000</v>
      </c>
      <c r="AI65" s="33">
        <v>0</v>
      </c>
      <c r="AJ65" s="33">
        <v>0</v>
      </c>
      <c r="AK65" s="33"/>
      <c r="AL65" s="7">
        <f>AK65</f>
        <v>0</v>
      </c>
      <c r="AM65" s="33">
        <v>149203.54999999999</v>
      </c>
      <c r="AN65" s="7">
        <f>AM65+20888.5</f>
        <v>170092.05</v>
      </c>
      <c r="AO65" s="33">
        <v>761056.68</v>
      </c>
      <c r="AP65" s="33">
        <v>106547.93</v>
      </c>
      <c r="AQ65" s="7">
        <f>AO65+AP65</f>
        <v>867604.6100000001</v>
      </c>
      <c r="AR65" s="7">
        <f>AK65+AM65+AO65</f>
        <v>910260.23</v>
      </c>
      <c r="AS65" s="7">
        <f>AL65+AN65+AQ65</f>
        <v>1037696.6600000001</v>
      </c>
      <c r="AT65" s="33"/>
      <c r="AU65" s="33"/>
      <c r="AV65" s="7">
        <f>AT65+AU65</f>
        <v>0</v>
      </c>
      <c r="AW65" s="33">
        <v>340800.89</v>
      </c>
      <c r="AX65" s="33">
        <v>47712.12</v>
      </c>
      <c r="AY65" s="7">
        <f>AW65+AX65</f>
        <v>388513.01</v>
      </c>
      <c r="AZ65" s="33">
        <v>751461.26</v>
      </c>
      <c r="BA65" s="33"/>
      <c r="BB65" s="7">
        <f>AZ65+BA65</f>
        <v>751461.26</v>
      </c>
      <c r="BC65" s="33"/>
      <c r="BD65" s="7">
        <f>BC65</f>
        <v>0</v>
      </c>
      <c r="BE65" s="33"/>
      <c r="BF65" s="7">
        <f>BE65</f>
        <v>0</v>
      </c>
      <c r="BG65" s="33"/>
      <c r="BH65" s="7">
        <f>BG65</f>
        <v>0</v>
      </c>
      <c r="BI65" s="33"/>
      <c r="BJ65" s="7">
        <f>BI65</f>
        <v>0</v>
      </c>
      <c r="BK65" s="33"/>
      <c r="BL65" s="7">
        <f>BK65</f>
        <v>0</v>
      </c>
      <c r="BM65" s="33"/>
      <c r="BN65" s="7">
        <f>BM65</f>
        <v>0</v>
      </c>
      <c r="BO65" s="33"/>
      <c r="BP65" s="14">
        <f>AK65+AM65+AO65+AT65+AW65+AZ65+BC65+BE65+BG65+BI65+BK65+BM65</f>
        <v>2002522.3800000001</v>
      </c>
      <c r="BQ65" s="14">
        <f>AL65+AN65+AQ65+AV65+AY65+BB65</f>
        <v>2177670.9300000002</v>
      </c>
      <c r="BR65" s="7"/>
      <c r="BS65" s="7">
        <f>AD65-BP65</f>
        <v>7797477.6200000001</v>
      </c>
      <c r="BT65" s="7">
        <f>AD65-BQ65</f>
        <v>7622329.0700000003</v>
      </c>
      <c r="BU65" s="15">
        <f>BP65/AD65</f>
        <v>0.20433901836734694</v>
      </c>
      <c r="BV65" s="15">
        <f>BQ65/AD65</f>
        <v>0.22221131938775512</v>
      </c>
      <c r="BW65" s="33"/>
      <c r="BX65" s="33"/>
      <c r="BY65" s="33"/>
      <c r="BZ65" s="36"/>
    </row>
    <row r="66" spans="1:79" s="1" customFormat="1" ht="15" customHeight="1" x14ac:dyDescent="0.2">
      <c r="A66" s="12" t="s">
        <v>7</v>
      </c>
      <c r="B66" s="24" t="s">
        <v>62</v>
      </c>
      <c r="C66" s="24" t="s">
        <v>227</v>
      </c>
      <c r="D66" s="24"/>
      <c r="E66" s="3">
        <v>255005</v>
      </c>
      <c r="F66" s="9"/>
      <c r="G66" s="10"/>
      <c r="H66" s="3"/>
      <c r="I66" s="11"/>
      <c r="J66" s="3"/>
      <c r="K66" s="11"/>
      <c r="L66" s="11"/>
      <c r="M66" s="11"/>
      <c r="N66" s="11"/>
      <c r="O66" s="11"/>
      <c r="P66" s="11"/>
      <c r="Q66" s="12"/>
      <c r="R66" s="12"/>
      <c r="S66" s="12"/>
      <c r="T66" s="12"/>
      <c r="U66" s="12"/>
      <c r="V66" s="13"/>
      <c r="W66" s="34"/>
      <c r="X66" s="24" t="s">
        <v>468</v>
      </c>
      <c r="Y66" s="110" t="s">
        <v>460</v>
      </c>
      <c r="Z66" s="33"/>
      <c r="AA66" s="33"/>
      <c r="AB66" s="7"/>
      <c r="AC66" s="33"/>
      <c r="AD66" s="33"/>
      <c r="AE66" s="33"/>
      <c r="AF66" s="7"/>
      <c r="AG66" s="33"/>
      <c r="AH66" s="33">
        <v>1000000</v>
      </c>
      <c r="AI66" s="33">
        <v>0</v>
      </c>
      <c r="AJ66" s="33">
        <v>0</v>
      </c>
      <c r="AK66" s="33"/>
      <c r="AL66" s="7"/>
      <c r="AM66" s="33"/>
      <c r="AN66" s="7"/>
      <c r="AO66" s="33"/>
      <c r="AP66" s="33"/>
      <c r="AQ66" s="7"/>
      <c r="AR66" s="7"/>
      <c r="AS66" s="7"/>
      <c r="AT66" s="33"/>
      <c r="AU66" s="33"/>
      <c r="AV66" s="7"/>
      <c r="AW66" s="33"/>
      <c r="AX66" s="33"/>
      <c r="AY66" s="7"/>
      <c r="AZ66" s="33"/>
      <c r="BA66" s="33"/>
      <c r="BB66" s="7"/>
      <c r="BC66" s="33"/>
      <c r="BD66" s="7"/>
      <c r="BE66" s="33"/>
      <c r="BF66" s="7"/>
      <c r="BG66" s="33"/>
      <c r="BH66" s="7"/>
      <c r="BI66" s="33"/>
      <c r="BJ66" s="7"/>
      <c r="BK66" s="33"/>
      <c r="BL66" s="7"/>
      <c r="BM66" s="33"/>
      <c r="BN66" s="7"/>
      <c r="BO66" s="33"/>
      <c r="BP66" s="14"/>
      <c r="BQ66" s="14"/>
      <c r="BR66" s="7"/>
      <c r="BS66" s="7"/>
      <c r="BT66" s="7"/>
      <c r="BU66" s="15"/>
      <c r="BV66" s="15"/>
      <c r="BW66" s="291"/>
      <c r="BX66" s="291"/>
      <c r="BY66" s="33"/>
      <c r="BZ66" s="36"/>
    </row>
    <row r="67" spans="1:79" s="1" customFormat="1" ht="17.100000000000001" customHeight="1" thickBot="1" x14ac:dyDescent="0.3">
      <c r="A67" s="12"/>
      <c r="B67" s="24"/>
      <c r="C67" s="24"/>
      <c r="D67" s="24"/>
      <c r="E67" s="3"/>
      <c r="F67" s="9"/>
      <c r="G67" s="10"/>
      <c r="H67" s="3"/>
      <c r="I67" s="11"/>
      <c r="J67" s="3"/>
      <c r="K67" s="11"/>
      <c r="L67" s="11"/>
      <c r="M67" s="11"/>
      <c r="N67" s="11"/>
      <c r="O67" s="11"/>
      <c r="P67" s="11"/>
      <c r="Q67" s="12"/>
      <c r="R67" s="12"/>
      <c r="S67" s="12"/>
      <c r="T67" s="12"/>
      <c r="U67" s="12"/>
      <c r="V67" s="13"/>
      <c r="W67" s="34"/>
      <c r="X67" s="24"/>
      <c r="Y67" s="110"/>
      <c r="Z67" s="33"/>
      <c r="AA67" s="33"/>
      <c r="AB67" s="7"/>
      <c r="AC67" s="33"/>
      <c r="AD67" s="33"/>
      <c r="AE67" s="33"/>
      <c r="AF67" s="7"/>
      <c r="AG67" s="33"/>
      <c r="AH67" s="315">
        <f>SUM(AH65:AH66)</f>
        <v>1100000</v>
      </c>
      <c r="AI67" s="315">
        <f>SUM(AI65:AI66)</f>
        <v>0</v>
      </c>
      <c r="AJ67" s="315">
        <f>SUM(AJ65:AJ66)</f>
        <v>0</v>
      </c>
      <c r="AK67" s="33"/>
      <c r="AL67" s="7"/>
      <c r="AM67" s="33"/>
      <c r="AN67" s="7"/>
      <c r="AO67" s="33"/>
      <c r="AP67" s="33"/>
      <c r="AQ67" s="7"/>
      <c r="AR67" s="7"/>
      <c r="AS67" s="7"/>
      <c r="AT67" s="33"/>
      <c r="AU67" s="33"/>
      <c r="AV67" s="7"/>
      <c r="AW67" s="33"/>
      <c r="AX67" s="33"/>
      <c r="AY67" s="7"/>
      <c r="AZ67" s="33"/>
      <c r="BA67" s="33"/>
      <c r="BB67" s="7"/>
      <c r="BC67" s="33"/>
      <c r="BD67" s="7"/>
      <c r="BE67" s="33"/>
      <c r="BF67" s="7"/>
      <c r="BG67" s="33"/>
      <c r="BH67" s="7"/>
      <c r="BI67" s="33"/>
      <c r="BJ67" s="7"/>
      <c r="BK67" s="33"/>
      <c r="BL67" s="7"/>
      <c r="BM67" s="33"/>
      <c r="BN67" s="7"/>
      <c r="BO67" s="33"/>
      <c r="BP67" s="14"/>
      <c r="BQ67" s="14"/>
      <c r="BR67" s="7"/>
      <c r="BS67" s="7"/>
      <c r="BT67" s="7"/>
      <c r="BU67" s="15"/>
      <c r="BV67" s="15"/>
      <c r="BW67" s="291"/>
      <c r="BX67" s="291"/>
      <c r="BY67" s="33"/>
      <c r="BZ67" s="36"/>
    </row>
    <row r="68" spans="1:79" s="1" customFormat="1" ht="15" customHeight="1" x14ac:dyDescent="0.2">
      <c r="A68" s="12"/>
      <c r="B68" s="24"/>
      <c r="C68" s="24"/>
      <c r="D68" s="24"/>
      <c r="E68" s="3"/>
      <c r="F68" s="9"/>
      <c r="G68" s="10"/>
      <c r="H68" s="3"/>
      <c r="I68" s="11"/>
      <c r="J68" s="3"/>
      <c r="K68" s="11"/>
      <c r="L68" s="11"/>
      <c r="M68" s="11"/>
      <c r="N68" s="11"/>
      <c r="O68" s="11"/>
      <c r="P68" s="11"/>
      <c r="Q68" s="12"/>
      <c r="R68" s="12"/>
      <c r="S68" s="12"/>
      <c r="T68" s="12"/>
      <c r="U68" s="12"/>
      <c r="V68" s="13"/>
      <c r="W68" s="34"/>
      <c r="X68" s="24"/>
      <c r="Y68" s="110"/>
      <c r="Z68" s="33"/>
      <c r="AA68" s="33"/>
      <c r="AB68" s="7"/>
      <c r="AC68" s="33"/>
      <c r="AD68" s="33"/>
      <c r="AE68" s="33"/>
      <c r="AF68" s="7"/>
      <c r="AG68" s="33"/>
      <c r="AH68" s="33"/>
      <c r="AI68" s="33"/>
      <c r="AJ68" s="33"/>
      <c r="AK68" s="33"/>
      <c r="AL68" s="7"/>
      <c r="AM68" s="33"/>
      <c r="AN68" s="7"/>
      <c r="AO68" s="33"/>
      <c r="AP68" s="33"/>
      <c r="AQ68" s="7"/>
      <c r="AR68" s="7"/>
      <c r="AS68" s="7"/>
      <c r="AT68" s="33"/>
      <c r="AU68" s="33"/>
      <c r="AV68" s="7"/>
      <c r="AW68" s="33"/>
      <c r="AX68" s="33"/>
      <c r="AY68" s="7"/>
      <c r="AZ68" s="33"/>
      <c r="BA68" s="33"/>
      <c r="BB68" s="7"/>
      <c r="BC68" s="33"/>
      <c r="BD68" s="7"/>
      <c r="BE68" s="33"/>
      <c r="BF68" s="7"/>
      <c r="BG68" s="33"/>
      <c r="BH68" s="7"/>
      <c r="BI68" s="33"/>
      <c r="BJ68" s="7"/>
      <c r="BK68" s="33"/>
      <c r="BL68" s="7"/>
      <c r="BM68" s="33"/>
      <c r="BN68" s="7"/>
      <c r="BO68" s="33"/>
      <c r="BP68" s="14"/>
      <c r="BQ68" s="14"/>
      <c r="BR68" s="7"/>
      <c r="BS68" s="7"/>
      <c r="BT68" s="7"/>
      <c r="BU68" s="15"/>
      <c r="BV68" s="15"/>
      <c r="BW68" s="291"/>
      <c r="BX68" s="291"/>
      <c r="BY68" s="33"/>
      <c r="BZ68" s="36"/>
    </row>
    <row r="69" spans="1:79" s="1" customFormat="1" ht="15" customHeight="1" x14ac:dyDescent="0.2">
      <c r="A69" s="12" t="s">
        <v>7</v>
      </c>
      <c r="B69" s="24" t="s">
        <v>62</v>
      </c>
      <c r="C69" s="24" t="s">
        <v>227</v>
      </c>
      <c r="D69" s="24" t="s">
        <v>13</v>
      </c>
      <c r="E69" s="3">
        <v>255005</v>
      </c>
      <c r="F69" s="9" t="s">
        <v>13</v>
      </c>
      <c r="G69" s="10" t="s">
        <v>13</v>
      </c>
      <c r="H69" s="3">
        <v>4</v>
      </c>
      <c r="I69" s="3">
        <v>36</v>
      </c>
      <c r="J69" s="3">
        <v>1421</v>
      </c>
      <c r="K69" s="3" t="s">
        <v>186</v>
      </c>
      <c r="L69" s="3" t="s">
        <v>189</v>
      </c>
      <c r="M69" s="11" t="s">
        <v>187</v>
      </c>
      <c r="N69" s="11" t="s">
        <v>187</v>
      </c>
      <c r="O69" s="11" t="s">
        <v>193</v>
      </c>
      <c r="P69" s="3" t="s">
        <v>188</v>
      </c>
      <c r="Q69" s="12" t="s">
        <v>110</v>
      </c>
      <c r="R69" s="12" t="s">
        <v>222</v>
      </c>
      <c r="S69" s="12"/>
      <c r="T69" s="12" t="s">
        <v>36</v>
      </c>
      <c r="U69" s="12" t="s">
        <v>13</v>
      </c>
      <c r="V69" s="25" t="s">
        <v>69</v>
      </c>
      <c r="W69" s="34">
        <v>9</v>
      </c>
      <c r="X69" s="24" t="s">
        <v>168</v>
      </c>
      <c r="Y69" s="110" t="s">
        <v>37</v>
      </c>
      <c r="Z69" s="33">
        <v>200000</v>
      </c>
      <c r="AA69" s="33"/>
      <c r="AB69" s="7">
        <f>Z69+AA69</f>
        <v>200000</v>
      </c>
      <c r="AC69" s="33"/>
      <c r="AD69" s="33">
        <f>AB69+AC69</f>
        <v>200000</v>
      </c>
      <c r="AE69" s="33"/>
      <c r="AF69" s="7">
        <f>+AD69+AE69</f>
        <v>200000</v>
      </c>
      <c r="AG69" s="33"/>
      <c r="AH69" s="33">
        <v>1100000</v>
      </c>
      <c r="AI69" s="33">
        <v>1000000</v>
      </c>
      <c r="AJ69" s="33">
        <v>1000000</v>
      </c>
      <c r="AK69" s="33"/>
      <c r="AL69" s="7">
        <f>AK69</f>
        <v>0</v>
      </c>
      <c r="AM69" s="33"/>
      <c r="AN69" s="7">
        <f>AM69</f>
        <v>0</v>
      </c>
      <c r="AO69" s="33"/>
      <c r="AP69" s="33">
        <v>0</v>
      </c>
      <c r="AQ69" s="7">
        <f>AO69+AP69</f>
        <v>0</v>
      </c>
      <c r="AR69" s="7">
        <f>AK69+AM69+AO69</f>
        <v>0</v>
      </c>
      <c r="AS69" s="7">
        <f>AL69+AN69+AQ69</f>
        <v>0</v>
      </c>
      <c r="AT69" s="33"/>
      <c r="AU69" s="33"/>
      <c r="AV69" s="7">
        <f>AT69+AU69</f>
        <v>0</v>
      </c>
      <c r="AW69" s="33"/>
      <c r="AX69" s="33"/>
      <c r="AY69" s="7">
        <f>AW69+AX69</f>
        <v>0</v>
      </c>
      <c r="AZ69" s="33"/>
      <c r="BA69" s="33"/>
      <c r="BB69" s="7">
        <f>AZ69+BA69</f>
        <v>0</v>
      </c>
      <c r="BC69" s="33"/>
      <c r="BD69" s="7">
        <f>BC69</f>
        <v>0</v>
      </c>
      <c r="BE69" s="33"/>
      <c r="BF69" s="7">
        <f>BE69</f>
        <v>0</v>
      </c>
      <c r="BG69" s="33"/>
      <c r="BH69" s="7">
        <f>BG69</f>
        <v>0</v>
      </c>
      <c r="BI69" s="33"/>
      <c r="BJ69" s="7">
        <f>BI69</f>
        <v>0</v>
      </c>
      <c r="BK69" s="33"/>
      <c r="BL69" s="7">
        <f>BK69</f>
        <v>0</v>
      </c>
      <c r="BM69" s="33"/>
      <c r="BN69" s="7">
        <f>BM69</f>
        <v>0</v>
      </c>
      <c r="BO69" s="33"/>
      <c r="BP69" s="14">
        <f>AK69+AM69+AO69+AT69+AW69+AZ69+BC69+BE69+BG69+BI69+BK69+BM69</f>
        <v>0</v>
      </c>
      <c r="BQ69" s="14">
        <f>AL69+AN69+AQ69+AV69+AY69+BB69</f>
        <v>0</v>
      </c>
      <c r="BR69" s="7"/>
      <c r="BS69" s="7">
        <f>AD69-BP69</f>
        <v>200000</v>
      </c>
      <c r="BT69" s="7">
        <f>AD69-BQ69</f>
        <v>200000</v>
      </c>
      <c r="BU69" s="15">
        <f>BP69/AD69</f>
        <v>0</v>
      </c>
      <c r="BV69" s="15">
        <f>BQ69/AD69</f>
        <v>0</v>
      </c>
      <c r="BW69" s="33">
        <v>6000000</v>
      </c>
      <c r="BX69" s="33"/>
      <c r="BY69" s="33"/>
      <c r="BZ69" s="36"/>
    </row>
    <row r="70" spans="1:79" s="1" customFormat="1" ht="15" customHeight="1" x14ac:dyDescent="0.2">
      <c r="A70" s="12" t="s">
        <v>7</v>
      </c>
      <c r="B70" s="24"/>
      <c r="C70" s="24"/>
      <c r="D70" s="24"/>
      <c r="E70" s="3">
        <v>255005</v>
      </c>
      <c r="F70" s="9" t="s">
        <v>13</v>
      </c>
      <c r="G70" s="10" t="s">
        <v>13</v>
      </c>
      <c r="H70" s="3"/>
      <c r="I70" s="3"/>
      <c r="J70" s="3"/>
      <c r="K70" s="11"/>
      <c r="L70" s="11"/>
      <c r="M70" s="11"/>
      <c r="N70" s="11"/>
      <c r="O70" s="11"/>
      <c r="P70" s="11"/>
      <c r="Q70" s="12" t="s">
        <v>110</v>
      </c>
      <c r="R70" s="12"/>
      <c r="S70" s="12"/>
      <c r="T70" s="12" t="s">
        <v>36</v>
      </c>
      <c r="U70" s="12" t="s">
        <v>13</v>
      </c>
      <c r="V70" s="25" t="s">
        <v>69</v>
      </c>
      <c r="W70" s="34"/>
      <c r="X70" s="24" t="s">
        <v>290</v>
      </c>
      <c r="Y70" s="110" t="s">
        <v>37</v>
      </c>
      <c r="Z70" s="33">
        <v>0</v>
      </c>
      <c r="AA70" s="33"/>
      <c r="AB70" s="7">
        <f>Z70+AA70</f>
        <v>0</v>
      </c>
      <c r="AC70" s="33"/>
      <c r="AD70" s="33">
        <f>AB70+AC70</f>
        <v>0</v>
      </c>
      <c r="AE70" s="33"/>
      <c r="AF70" s="7">
        <f>+AD70+AE70</f>
        <v>0</v>
      </c>
      <c r="AG70" s="33"/>
      <c r="AH70" s="33">
        <v>1250000</v>
      </c>
      <c r="AI70" s="33">
        <f>1250000+50000</f>
        <v>1300000</v>
      </c>
      <c r="AJ70" s="33">
        <v>1300000</v>
      </c>
      <c r="AK70" s="33"/>
      <c r="AL70" s="7"/>
      <c r="AM70" s="33"/>
      <c r="AN70" s="7"/>
      <c r="AO70" s="33"/>
      <c r="AP70" s="33"/>
      <c r="AQ70" s="7"/>
      <c r="AR70" s="7"/>
      <c r="AS70" s="7"/>
      <c r="AT70" s="33"/>
      <c r="AU70" s="33"/>
      <c r="AV70" s="7"/>
      <c r="AW70" s="33"/>
      <c r="AX70" s="33"/>
      <c r="AY70" s="7"/>
      <c r="AZ70" s="33"/>
      <c r="BA70" s="33"/>
      <c r="BB70" s="7"/>
      <c r="BC70" s="33"/>
      <c r="BD70" s="7"/>
      <c r="BE70" s="33"/>
      <c r="BF70" s="7"/>
      <c r="BG70" s="33"/>
      <c r="BH70" s="7"/>
      <c r="BI70" s="33"/>
      <c r="BJ70" s="7"/>
      <c r="BK70" s="33"/>
      <c r="BL70" s="7"/>
      <c r="BM70" s="33"/>
      <c r="BN70" s="7"/>
      <c r="BO70" s="33"/>
      <c r="BP70" s="14"/>
      <c r="BQ70" s="14"/>
      <c r="BR70" s="7"/>
      <c r="BS70" s="7"/>
      <c r="BT70" s="7"/>
      <c r="BU70" s="15"/>
      <c r="BV70" s="15"/>
      <c r="BW70" s="33"/>
      <c r="BX70" s="33"/>
      <c r="BY70" s="33"/>
      <c r="BZ70" s="36"/>
    </row>
    <row r="71" spans="1:79" s="1" customFormat="1" ht="15" customHeight="1" x14ac:dyDescent="0.2">
      <c r="A71" s="12" t="s">
        <v>7</v>
      </c>
      <c r="B71" s="24"/>
      <c r="C71" s="24"/>
      <c r="D71" s="24"/>
      <c r="E71" s="3">
        <v>255005</v>
      </c>
      <c r="F71" s="9"/>
      <c r="G71" s="10"/>
      <c r="H71" s="3"/>
      <c r="I71" s="3"/>
      <c r="J71" s="3"/>
      <c r="K71" s="11"/>
      <c r="L71" s="11"/>
      <c r="M71" s="11"/>
      <c r="N71" s="11"/>
      <c r="O71" s="11"/>
      <c r="P71" s="11"/>
      <c r="Q71" s="12"/>
      <c r="R71" s="12"/>
      <c r="S71" s="12"/>
      <c r="T71" s="12"/>
      <c r="U71" s="12"/>
      <c r="V71" s="13"/>
      <c r="W71" s="34"/>
      <c r="X71" s="24" t="s">
        <v>469</v>
      </c>
      <c r="Y71" s="110" t="s">
        <v>460</v>
      </c>
      <c r="Z71" s="33"/>
      <c r="AA71" s="33"/>
      <c r="AB71" s="7"/>
      <c r="AC71" s="33"/>
      <c r="AD71" s="33"/>
      <c r="AE71" s="33"/>
      <c r="AF71" s="7"/>
      <c r="AG71" s="33"/>
      <c r="AH71" s="33">
        <v>0</v>
      </c>
      <c r="AI71" s="33">
        <v>500000</v>
      </c>
      <c r="AJ71" s="33">
        <v>0</v>
      </c>
      <c r="AK71" s="33"/>
      <c r="AL71" s="7"/>
      <c r="AM71" s="33"/>
      <c r="AN71" s="7"/>
      <c r="AO71" s="33"/>
      <c r="AP71" s="33"/>
      <c r="AQ71" s="7"/>
      <c r="AR71" s="7"/>
      <c r="AS71" s="7"/>
      <c r="AT71" s="33"/>
      <c r="AU71" s="33"/>
      <c r="AV71" s="7"/>
      <c r="AW71" s="33"/>
      <c r="AX71" s="33"/>
      <c r="AY71" s="7"/>
      <c r="AZ71" s="33"/>
      <c r="BA71" s="33"/>
      <c r="BB71" s="7"/>
      <c r="BC71" s="33"/>
      <c r="BD71" s="7"/>
      <c r="BE71" s="33"/>
      <c r="BF71" s="7"/>
      <c r="BG71" s="33"/>
      <c r="BH71" s="7"/>
      <c r="BI71" s="33"/>
      <c r="BJ71" s="7"/>
      <c r="BK71" s="33"/>
      <c r="BL71" s="7"/>
      <c r="BM71" s="33"/>
      <c r="BN71" s="7"/>
      <c r="BO71" s="33"/>
      <c r="BP71" s="14"/>
      <c r="BQ71" s="14"/>
      <c r="BR71" s="7"/>
      <c r="BS71" s="7"/>
      <c r="BT71" s="7"/>
      <c r="BU71" s="15"/>
      <c r="BV71" s="15"/>
      <c r="BW71" s="33"/>
      <c r="BX71" s="33"/>
      <c r="BY71" s="33"/>
      <c r="BZ71" s="36"/>
    </row>
    <row r="72" spans="1:79" s="1" customFormat="1" ht="15" customHeight="1" x14ac:dyDescent="0.2">
      <c r="A72" s="12" t="s">
        <v>7</v>
      </c>
      <c r="B72" s="24"/>
      <c r="C72" s="24"/>
      <c r="D72" s="24"/>
      <c r="E72" s="3">
        <v>255005</v>
      </c>
      <c r="F72" s="9"/>
      <c r="G72" s="10"/>
      <c r="H72" s="3"/>
      <c r="I72" s="3"/>
      <c r="J72" s="3"/>
      <c r="K72" s="11"/>
      <c r="L72" s="11"/>
      <c r="M72" s="11"/>
      <c r="N72" s="11"/>
      <c r="O72" s="11"/>
      <c r="P72" s="11"/>
      <c r="Q72" s="12"/>
      <c r="R72" s="12"/>
      <c r="S72" s="12"/>
      <c r="T72" s="12"/>
      <c r="U72" s="12"/>
      <c r="V72" s="13"/>
      <c r="W72" s="34"/>
      <c r="X72" s="24" t="s">
        <v>470</v>
      </c>
      <c r="Y72" s="110" t="s">
        <v>460</v>
      </c>
      <c r="Z72" s="33"/>
      <c r="AA72" s="33"/>
      <c r="AB72" s="7"/>
      <c r="AC72" s="33"/>
      <c r="AD72" s="33"/>
      <c r="AE72" s="33"/>
      <c r="AF72" s="7"/>
      <c r="AG72" s="33"/>
      <c r="AH72" s="33">
        <v>500000</v>
      </c>
      <c r="AI72" s="33">
        <v>4000000</v>
      </c>
      <c r="AJ72" s="33">
        <v>6000000</v>
      </c>
      <c r="AK72" s="33"/>
      <c r="AL72" s="7"/>
      <c r="AM72" s="33"/>
      <c r="AN72" s="7"/>
      <c r="AO72" s="33"/>
      <c r="AP72" s="33"/>
      <c r="AQ72" s="7"/>
      <c r="AR72" s="7"/>
      <c r="AS72" s="7"/>
      <c r="AT72" s="33"/>
      <c r="AU72" s="33"/>
      <c r="AV72" s="7"/>
      <c r="AW72" s="33"/>
      <c r="AX72" s="33"/>
      <c r="AY72" s="7"/>
      <c r="AZ72" s="33"/>
      <c r="BA72" s="33"/>
      <c r="BB72" s="7"/>
      <c r="BC72" s="33"/>
      <c r="BD72" s="7"/>
      <c r="BE72" s="33"/>
      <c r="BF72" s="7"/>
      <c r="BG72" s="33"/>
      <c r="BH72" s="7"/>
      <c r="BI72" s="33"/>
      <c r="BJ72" s="7"/>
      <c r="BK72" s="33"/>
      <c r="BL72" s="7"/>
      <c r="BM72" s="33"/>
      <c r="BN72" s="7"/>
      <c r="BO72" s="33"/>
      <c r="BP72" s="14"/>
      <c r="BQ72" s="14"/>
      <c r="BR72" s="7"/>
      <c r="BS72" s="7"/>
      <c r="BT72" s="7"/>
      <c r="BU72" s="15"/>
      <c r="BV72" s="15"/>
      <c r="BW72" s="33"/>
      <c r="BX72" s="33"/>
      <c r="BY72" s="33"/>
      <c r="BZ72" s="36"/>
    </row>
    <row r="73" spans="1:79" s="1" customFormat="1" ht="17.100000000000001" customHeight="1" thickBot="1" x14ac:dyDescent="0.3">
      <c r="A73" s="12"/>
      <c r="B73" s="24"/>
      <c r="C73" s="24"/>
      <c r="D73" s="24"/>
      <c r="E73" s="3"/>
      <c r="F73" s="9"/>
      <c r="G73" s="10"/>
      <c r="H73" s="3"/>
      <c r="I73" s="3"/>
      <c r="J73" s="3"/>
      <c r="K73" s="11"/>
      <c r="L73" s="11"/>
      <c r="M73" s="11"/>
      <c r="N73" s="11"/>
      <c r="O73" s="11"/>
      <c r="P73" s="11"/>
      <c r="Q73" s="12"/>
      <c r="R73" s="12"/>
      <c r="S73" s="12"/>
      <c r="T73" s="12"/>
      <c r="U73" s="12"/>
      <c r="V73" s="13"/>
      <c r="W73" s="34"/>
      <c r="X73" s="24"/>
      <c r="Y73" s="110"/>
      <c r="Z73" s="33"/>
      <c r="AA73" s="33"/>
      <c r="AB73" s="7"/>
      <c r="AC73" s="33"/>
      <c r="AD73" s="33"/>
      <c r="AE73" s="33"/>
      <c r="AF73" s="7"/>
      <c r="AG73" s="33"/>
      <c r="AH73" s="315">
        <f>SUM(AH69:AH72)</f>
        <v>2850000</v>
      </c>
      <c r="AI73" s="315">
        <f>SUM(AI69:AI72)</f>
        <v>6800000</v>
      </c>
      <c r="AJ73" s="315">
        <f>SUM(AJ69:AJ72)</f>
        <v>8300000</v>
      </c>
      <c r="AK73" s="33"/>
      <c r="AL73" s="7"/>
      <c r="AM73" s="33"/>
      <c r="AN73" s="7"/>
      <c r="AO73" s="33"/>
      <c r="AP73" s="33"/>
      <c r="AQ73" s="7"/>
      <c r="AR73" s="7"/>
      <c r="AS73" s="7"/>
      <c r="AT73" s="33"/>
      <c r="AU73" s="33"/>
      <c r="AV73" s="7"/>
      <c r="AW73" s="33"/>
      <c r="AX73" s="33"/>
      <c r="AY73" s="7"/>
      <c r="AZ73" s="33"/>
      <c r="BA73" s="33"/>
      <c r="BB73" s="7"/>
      <c r="BC73" s="33"/>
      <c r="BD73" s="7"/>
      <c r="BE73" s="33"/>
      <c r="BF73" s="7"/>
      <c r="BG73" s="33"/>
      <c r="BH73" s="7"/>
      <c r="BI73" s="33"/>
      <c r="BJ73" s="7"/>
      <c r="BK73" s="33"/>
      <c r="BL73" s="7"/>
      <c r="BM73" s="33"/>
      <c r="BN73" s="7"/>
      <c r="BO73" s="33"/>
      <c r="BP73" s="14"/>
      <c r="BQ73" s="14"/>
      <c r="BR73" s="7"/>
      <c r="BS73" s="7"/>
      <c r="BT73" s="7"/>
      <c r="BU73" s="15"/>
      <c r="BV73" s="15"/>
      <c r="BW73" s="291"/>
      <c r="BX73" s="291"/>
      <c r="BY73" s="33"/>
      <c r="BZ73" s="36"/>
    </row>
    <row r="74" spans="1:79" s="1" customFormat="1" ht="15" customHeight="1" x14ac:dyDescent="0.2">
      <c r="A74" s="12"/>
      <c r="B74" s="24"/>
      <c r="C74" s="24"/>
      <c r="D74" s="24"/>
      <c r="E74" s="3"/>
      <c r="F74" s="9"/>
      <c r="G74" s="10"/>
      <c r="H74" s="3"/>
      <c r="I74" s="3"/>
      <c r="J74" s="3"/>
      <c r="K74" s="11"/>
      <c r="L74" s="11"/>
      <c r="M74" s="11"/>
      <c r="N74" s="11"/>
      <c r="O74" s="11"/>
      <c r="P74" s="11"/>
      <c r="Q74" s="12"/>
      <c r="R74" s="12"/>
      <c r="S74" s="12"/>
      <c r="T74" s="12"/>
      <c r="U74" s="12"/>
      <c r="V74" s="13"/>
      <c r="W74" s="34"/>
      <c r="X74" s="24"/>
      <c r="Y74" s="110"/>
      <c r="Z74" s="33"/>
      <c r="AA74" s="33"/>
      <c r="AB74" s="7"/>
      <c r="AC74" s="33"/>
      <c r="AD74" s="33"/>
      <c r="AE74" s="33"/>
      <c r="AF74" s="7"/>
      <c r="AG74" s="33"/>
      <c r="AH74" s="33"/>
      <c r="AI74" s="33"/>
      <c r="AJ74" s="33"/>
      <c r="AK74" s="33"/>
      <c r="AL74" s="7"/>
      <c r="AM74" s="33"/>
      <c r="AN74" s="7"/>
      <c r="AO74" s="33"/>
      <c r="AP74" s="33"/>
      <c r="AQ74" s="7"/>
      <c r="AR74" s="7"/>
      <c r="AS74" s="7"/>
      <c r="AT74" s="33"/>
      <c r="AU74" s="33"/>
      <c r="AV74" s="7"/>
      <c r="AW74" s="33"/>
      <c r="AX74" s="33"/>
      <c r="AY74" s="7"/>
      <c r="AZ74" s="33"/>
      <c r="BA74" s="33"/>
      <c r="BB74" s="7"/>
      <c r="BC74" s="33"/>
      <c r="BD74" s="7"/>
      <c r="BE74" s="33"/>
      <c r="BF74" s="7"/>
      <c r="BG74" s="33"/>
      <c r="BH74" s="7"/>
      <c r="BI74" s="33"/>
      <c r="BJ74" s="7"/>
      <c r="BK74" s="33"/>
      <c r="BL74" s="7"/>
      <c r="BM74" s="33"/>
      <c r="BN74" s="7"/>
      <c r="BO74" s="33"/>
      <c r="BP74" s="14"/>
      <c r="BQ74" s="14"/>
      <c r="BR74" s="7"/>
      <c r="BS74" s="7"/>
      <c r="BT74" s="7"/>
      <c r="BU74" s="15"/>
      <c r="BV74" s="15"/>
      <c r="BW74" s="291"/>
      <c r="BX74" s="291"/>
      <c r="BY74" s="33"/>
      <c r="BZ74" s="36"/>
    </row>
    <row r="75" spans="1:79" s="1" customFormat="1" ht="31.5" customHeight="1" x14ac:dyDescent="0.25">
      <c r="A75" s="12" t="s">
        <v>7</v>
      </c>
      <c r="B75" s="24" t="s">
        <v>62</v>
      </c>
      <c r="C75" s="24" t="s">
        <v>227</v>
      </c>
      <c r="D75" s="24" t="s">
        <v>13</v>
      </c>
      <c r="E75" s="3">
        <v>255005</v>
      </c>
      <c r="F75" s="9" t="s">
        <v>13</v>
      </c>
      <c r="G75" s="10" t="s">
        <v>13</v>
      </c>
      <c r="H75" s="3">
        <v>4</v>
      </c>
      <c r="I75" s="3">
        <v>36</v>
      </c>
      <c r="J75" s="3">
        <v>1405</v>
      </c>
      <c r="K75" s="3" t="s">
        <v>186</v>
      </c>
      <c r="L75" s="3" t="s">
        <v>189</v>
      </c>
      <c r="M75" s="11" t="s">
        <v>187</v>
      </c>
      <c r="N75" s="11" t="s">
        <v>187</v>
      </c>
      <c r="O75" s="11" t="s">
        <v>193</v>
      </c>
      <c r="P75" s="3" t="s">
        <v>188</v>
      </c>
      <c r="Q75" s="12" t="s">
        <v>110</v>
      </c>
      <c r="R75" s="12" t="s">
        <v>222</v>
      </c>
      <c r="S75" s="12"/>
      <c r="T75" s="12" t="s">
        <v>36</v>
      </c>
      <c r="U75" s="12" t="s">
        <v>13</v>
      </c>
      <c r="V75" s="25" t="s">
        <v>69</v>
      </c>
      <c r="W75" s="111" t="s">
        <v>97</v>
      </c>
      <c r="X75" s="35" t="s">
        <v>174</v>
      </c>
      <c r="Y75" s="110" t="s">
        <v>37</v>
      </c>
      <c r="Z75" s="33">
        <v>3500000</v>
      </c>
      <c r="AA75" s="33"/>
      <c r="AB75" s="7">
        <f>Z75+AA75</f>
        <v>3500000</v>
      </c>
      <c r="AC75" s="33"/>
      <c r="AD75" s="33">
        <f>AB75+AC75</f>
        <v>3500000</v>
      </c>
      <c r="AE75" s="33"/>
      <c r="AF75" s="7">
        <f>+AD75+AE75</f>
        <v>3500000</v>
      </c>
      <c r="AG75" s="33"/>
      <c r="AH75" s="33">
        <v>12452208</v>
      </c>
      <c r="AI75" s="33">
        <f>14000000+20000000</f>
        <v>34000000</v>
      </c>
      <c r="AJ75" s="33">
        <f>14000000+50000000+36738204+13702529-20000000</f>
        <v>94440733</v>
      </c>
      <c r="AK75" s="33"/>
      <c r="AL75" s="7">
        <f>AK75</f>
        <v>0</v>
      </c>
      <c r="AM75" s="33">
        <v>4737.54</v>
      </c>
      <c r="AN75" s="7">
        <f>AM75</f>
        <v>4737.54</v>
      </c>
      <c r="AO75" s="33">
        <v>-4737.54</v>
      </c>
      <c r="AP75" s="33">
        <v>0</v>
      </c>
      <c r="AQ75" s="7">
        <f>AO75+AP75</f>
        <v>-4737.54</v>
      </c>
      <c r="AR75" s="7">
        <f>AK75+AM75+AO75</f>
        <v>0</v>
      </c>
      <c r="AS75" s="7">
        <f>AL75+AN75+AQ75</f>
        <v>0</v>
      </c>
      <c r="AT75" s="33"/>
      <c r="AU75" s="33"/>
      <c r="AV75" s="7">
        <f>AT75+AU75</f>
        <v>0</v>
      </c>
      <c r="AW75" s="33"/>
      <c r="AX75" s="33"/>
      <c r="AY75" s="7">
        <f>AW75+AX75</f>
        <v>0</v>
      </c>
      <c r="AZ75" s="33">
        <v>9997.5</v>
      </c>
      <c r="BA75" s="33">
        <v>1399.65</v>
      </c>
      <c r="BB75" s="7">
        <f>AZ75+BA75</f>
        <v>11397.15</v>
      </c>
      <c r="BC75" s="33"/>
      <c r="BD75" s="7">
        <f>BC75</f>
        <v>0</v>
      </c>
      <c r="BE75" s="33"/>
      <c r="BF75" s="7">
        <f>BE75</f>
        <v>0</v>
      </c>
      <c r="BG75" s="33"/>
      <c r="BH75" s="7">
        <f>BG75</f>
        <v>0</v>
      </c>
      <c r="BI75" s="33"/>
      <c r="BJ75" s="7">
        <f>BI75</f>
        <v>0</v>
      </c>
      <c r="BK75" s="33"/>
      <c r="BL75" s="7">
        <f>BK75</f>
        <v>0</v>
      </c>
      <c r="BM75" s="33"/>
      <c r="BN75" s="7">
        <f>BM75</f>
        <v>0</v>
      </c>
      <c r="BO75" s="33"/>
      <c r="BP75" s="14">
        <f>AK75+AM75+AO75+AT75+AW75+AZ75+BC75+BE75+BG75+BI75+BK75+BM75</f>
        <v>9997.5</v>
      </c>
      <c r="BQ75" s="14">
        <f>AL75+AN75+AQ75+AV75+AY75+BB75</f>
        <v>11397.15</v>
      </c>
      <c r="BR75" s="7"/>
      <c r="BS75" s="7">
        <f>AD75-BP75</f>
        <v>3490002.5</v>
      </c>
      <c r="BT75" s="7">
        <f>AD75-BQ75</f>
        <v>3488602.85</v>
      </c>
      <c r="BU75" s="15">
        <f>BP75/AD75</f>
        <v>2.8564285714285714E-3</v>
      </c>
      <c r="BV75" s="15">
        <f>BQ75/AD75</f>
        <v>3.2563285714285713E-3</v>
      </c>
      <c r="BW75" s="33">
        <v>73047792</v>
      </c>
      <c r="BX75" s="33"/>
      <c r="BY75" s="33"/>
      <c r="BZ75" s="36"/>
      <c r="CA75" s="308">
        <f>+AF75+AH75+AI75+AJ75</f>
        <v>144392941</v>
      </c>
    </row>
    <row r="76" spans="1:79" s="1" customFormat="1" ht="31.5" customHeight="1" x14ac:dyDescent="0.2">
      <c r="A76" s="12" t="s">
        <v>7</v>
      </c>
      <c r="B76" s="24" t="s">
        <v>62</v>
      </c>
      <c r="C76" s="24" t="s">
        <v>227</v>
      </c>
      <c r="D76" s="24"/>
      <c r="E76" s="3">
        <v>255005</v>
      </c>
      <c r="F76" s="9" t="s">
        <v>13</v>
      </c>
      <c r="G76" s="10" t="s">
        <v>13</v>
      </c>
      <c r="H76" s="3">
        <v>4</v>
      </c>
      <c r="I76" s="3">
        <v>35</v>
      </c>
      <c r="J76" s="3">
        <v>1411</v>
      </c>
      <c r="K76" s="3" t="s">
        <v>186</v>
      </c>
      <c r="L76" s="3" t="s">
        <v>189</v>
      </c>
      <c r="M76" s="11" t="s">
        <v>187</v>
      </c>
      <c r="N76" s="11" t="s">
        <v>187</v>
      </c>
      <c r="O76" s="11" t="s">
        <v>193</v>
      </c>
      <c r="P76" s="3" t="s">
        <v>188</v>
      </c>
      <c r="Q76" s="12" t="s">
        <v>110</v>
      </c>
      <c r="R76" s="12" t="s">
        <v>222</v>
      </c>
      <c r="S76" s="12"/>
      <c r="T76" s="12" t="s">
        <v>36</v>
      </c>
      <c r="U76" s="12" t="s">
        <v>13</v>
      </c>
      <c r="V76" s="25" t="s">
        <v>69</v>
      </c>
      <c r="W76" s="34"/>
      <c r="X76" s="35" t="s">
        <v>174</v>
      </c>
      <c r="Y76" s="110" t="s">
        <v>38</v>
      </c>
      <c r="Z76" s="33">
        <v>0</v>
      </c>
      <c r="AA76" s="33"/>
      <c r="AB76" s="7">
        <f>Z76+AA76</f>
        <v>0</v>
      </c>
      <c r="AC76" s="33"/>
      <c r="AD76" s="33">
        <f>AB76+AC76</f>
        <v>0</v>
      </c>
      <c r="AE76" s="33"/>
      <c r="AF76" s="7">
        <f>+AD76+AE76</f>
        <v>0</v>
      </c>
      <c r="AG76" s="33"/>
      <c r="AH76" s="33">
        <v>0</v>
      </c>
      <c r="AI76" s="33">
        <v>6000000</v>
      </c>
      <c r="AJ76" s="33">
        <v>0</v>
      </c>
      <c r="AK76" s="33"/>
      <c r="AL76" s="7">
        <f>AK76</f>
        <v>0</v>
      </c>
      <c r="AM76" s="33"/>
      <c r="AN76" s="7">
        <f>AM76</f>
        <v>0</v>
      </c>
      <c r="AO76" s="33"/>
      <c r="AP76" s="33"/>
      <c r="AQ76" s="7">
        <f>AO76+AP76</f>
        <v>0</v>
      </c>
      <c r="AR76" s="7">
        <f>AK76+AM76+AO76</f>
        <v>0</v>
      </c>
      <c r="AS76" s="7">
        <f>AL76+AN76+AQ76</f>
        <v>0</v>
      </c>
      <c r="AT76" s="33"/>
      <c r="AU76" s="33"/>
      <c r="AV76" s="7">
        <f>AT76+AU76</f>
        <v>0</v>
      </c>
      <c r="AW76" s="33"/>
      <c r="AX76" s="33"/>
      <c r="AY76" s="7">
        <f>AW76+AX76</f>
        <v>0</v>
      </c>
      <c r="AZ76" s="33"/>
      <c r="BA76" s="33"/>
      <c r="BB76" s="7">
        <f>AZ76+BA76</f>
        <v>0</v>
      </c>
      <c r="BC76" s="33"/>
      <c r="BD76" s="7">
        <f>BC76</f>
        <v>0</v>
      </c>
      <c r="BE76" s="33"/>
      <c r="BF76" s="7">
        <f>BE76</f>
        <v>0</v>
      </c>
      <c r="BG76" s="33"/>
      <c r="BH76" s="7">
        <f>BG76</f>
        <v>0</v>
      </c>
      <c r="BI76" s="33"/>
      <c r="BJ76" s="7">
        <f>BI76</f>
        <v>0</v>
      </c>
      <c r="BK76" s="33"/>
      <c r="BL76" s="7">
        <f>BK76</f>
        <v>0</v>
      </c>
      <c r="BM76" s="33"/>
      <c r="BN76" s="7">
        <f>BM76</f>
        <v>0</v>
      </c>
      <c r="BO76" s="33"/>
      <c r="BP76" s="14">
        <f>AK76+AM76+AO76+AT76+AW76+AZ76+BC76+BE76+BG76+BI76+BK76+BM76</f>
        <v>0</v>
      </c>
      <c r="BQ76" s="14">
        <f>AL76+AN76+AQ76+AV76+AY76+BB76</f>
        <v>0</v>
      </c>
      <c r="BR76" s="7"/>
      <c r="BS76" s="7">
        <f>AD76-BP76</f>
        <v>0</v>
      </c>
      <c r="BT76" s="7">
        <f>AD76-BQ76</f>
        <v>0</v>
      </c>
      <c r="BU76" s="15" t="e">
        <f>BP76/AD76</f>
        <v>#DIV/0!</v>
      </c>
      <c r="BV76" s="15" t="e">
        <f>BQ76/AD76</f>
        <v>#DIV/0!</v>
      </c>
      <c r="BW76" s="291"/>
      <c r="BX76" s="291"/>
      <c r="BY76" s="33"/>
      <c r="BZ76" s="36"/>
    </row>
    <row r="77" spans="1:79" s="1" customFormat="1" ht="31.5" customHeight="1" x14ac:dyDescent="0.2">
      <c r="A77" s="12" t="s">
        <v>7</v>
      </c>
      <c r="B77" s="24" t="s">
        <v>62</v>
      </c>
      <c r="C77" s="24" t="s">
        <v>227</v>
      </c>
      <c r="D77" s="24"/>
      <c r="E77" s="3">
        <v>255005</v>
      </c>
      <c r="F77" s="9"/>
      <c r="G77" s="10"/>
      <c r="H77" s="3"/>
      <c r="I77" s="3"/>
      <c r="J77" s="3"/>
      <c r="K77" s="3"/>
      <c r="L77" s="3"/>
      <c r="M77" s="11"/>
      <c r="N77" s="11"/>
      <c r="O77" s="11"/>
      <c r="P77" s="3"/>
      <c r="Q77" s="12"/>
      <c r="R77" s="12"/>
      <c r="S77" s="12"/>
      <c r="T77" s="12"/>
      <c r="U77" s="12"/>
      <c r="V77" s="25"/>
      <c r="W77" s="34"/>
      <c r="X77" s="24" t="s">
        <v>463</v>
      </c>
      <c r="Y77" s="110" t="s">
        <v>38</v>
      </c>
      <c r="Z77" s="33"/>
      <c r="AA77" s="33"/>
      <c r="AB77" s="7"/>
      <c r="AC77" s="33"/>
      <c r="AD77" s="33"/>
      <c r="AE77" s="33"/>
      <c r="AF77" s="7"/>
      <c r="AG77" s="33"/>
      <c r="AH77" s="33">
        <v>1250000</v>
      </c>
      <c r="AI77" s="33">
        <v>100190955</v>
      </c>
      <c r="AJ77" s="33">
        <v>33000000</v>
      </c>
      <c r="AK77" s="33"/>
      <c r="AL77" s="7"/>
      <c r="AM77" s="33"/>
      <c r="AN77" s="7"/>
      <c r="AO77" s="33"/>
      <c r="AP77" s="33"/>
      <c r="AQ77" s="7"/>
      <c r="AR77" s="7"/>
      <c r="AS77" s="7"/>
      <c r="AT77" s="33"/>
      <c r="AU77" s="33"/>
      <c r="AV77" s="7"/>
      <c r="AW77" s="33"/>
      <c r="AX77" s="33"/>
      <c r="AY77" s="7"/>
      <c r="AZ77" s="33"/>
      <c r="BA77" s="33"/>
      <c r="BB77" s="7"/>
      <c r="BC77" s="33"/>
      <c r="BD77" s="7"/>
      <c r="BE77" s="33"/>
      <c r="BF77" s="7"/>
      <c r="BG77" s="33"/>
      <c r="BH77" s="7"/>
      <c r="BI77" s="33"/>
      <c r="BJ77" s="7"/>
      <c r="BK77" s="33"/>
      <c r="BL77" s="7"/>
      <c r="BM77" s="33"/>
      <c r="BN77" s="7"/>
      <c r="BO77" s="33"/>
      <c r="BP77" s="14"/>
      <c r="BQ77" s="14"/>
      <c r="BR77" s="7"/>
      <c r="BS77" s="7"/>
      <c r="BT77" s="7"/>
      <c r="BU77" s="15"/>
      <c r="BV77" s="15"/>
      <c r="BW77" s="291"/>
      <c r="BX77" s="291"/>
      <c r="BY77" s="33"/>
      <c r="BZ77" s="36"/>
    </row>
    <row r="78" spans="1:79" s="1" customFormat="1" ht="17.100000000000001" customHeight="1" thickBot="1" x14ac:dyDescent="0.3">
      <c r="A78" s="12"/>
      <c r="B78" s="24"/>
      <c r="C78" s="24"/>
      <c r="D78" s="24"/>
      <c r="E78" s="3"/>
      <c r="F78" s="9"/>
      <c r="G78" s="10"/>
      <c r="H78" s="3"/>
      <c r="I78" s="3"/>
      <c r="J78" s="3"/>
      <c r="K78" s="3"/>
      <c r="L78" s="3"/>
      <c r="M78" s="11"/>
      <c r="N78" s="11"/>
      <c r="O78" s="11"/>
      <c r="P78" s="3"/>
      <c r="Q78" s="12"/>
      <c r="R78" s="12"/>
      <c r="S78" s="12"/>
      <c r="T78" s="12"/>
      <c r="U78" s="12"/>
      <c r="V78" s="25"/>
      <c r="W78" s="34"/>
      <c r="X78" s="24"/>
      <c r="Y78" s="110"/>
      <c r="Z78" s="33"/>
      <c r="AA78" s="33"/>
      <c r="AB78" s="7"/>
      <c r="AC78" s="33"/>
      <c r="AD78" s="33"/>
      <c r="AE78" s="33"/>
      <c r="AF78" s="7"/>
      <c r="AG78" s="33"/>
      <c r="AH78" s="315">
        <f>SUM(AH75:AH77)</f>
        <v>13702208</v>
      </c>
      <c r="AI78" s="315">
        <f>SUM(AI75:AI77)</f>
        <v>140190955</v>
      </c>
      <c r="AJ78" s="315">
        <f>SUM(AJ75:AJ77)</f>
        <v>127440733</v>
      </c>
      <c r="AK78" s="33"/>
      <c r="AL78" s="7"/>
      <c r="AM78" s="33"/>
      <c r="AN78" s="7"/>
      <c r="AO78" s="33"/>
      <c r="AP78" s="33"/>
      <c r="AQ78" s="7"/>
      <c r="AR78" s="7"/>
      <c r="AS78" s="7"/>
      <c r="AT78" s="33"/>
      <c r="AU78" s="33"/>
      <c r="AV78" s="7"/>
      <c r="AW78" s="33"/>
      <c r="AX78" s="33"/>
      <c r="AY78" s="7"/>
      <c r="AZ78" s="33"/>
      <c r="BA78" s="33"/>
      <c r="BB78" s="7"/>
      <c r="BC78" s="33"/>
      <c r="BD78" s="7"/>
      <c r="BE78" s="33"/>
      <c r="BF78" s="7"/>
      <c r="BG78" s="33"/>
      <c r="BH78" s="7"/>
      <c r="BI78" s="33"/>
      <c r="BJ78" s="7"/>
      <c r="BK78" s="33"/>
      <c r="BL78" s="7"/>
      <c r="BM78" s="33"/>
      <c r="BN78" s="7"/>
      <c r="BO78" s="33"/>
      <c r="BP78" s="14"/>
      <c r="BQ78" s="14"/>
      <c r="BR78" s="7"/>
      <c r="BS78" s="7"/>
      <c r="BT78" s="7"/>
      <c r="BU78" s="15"/>
      <c r="BV78" s="15"/>
      <c r="BW78" s="291"/>
      <c r="BX78" s="291"/>
      <c r="BY78" s="33"/>
      <c r="BZ78" s="36"/>
    </row>
    <row r="79" spans="1:79" s="1" customFormat="1" ht="15" customHeight="1" x14ac:dyDescent="0.2">
      <c r="A79" s="12"/>
      <c r="B79" s="24"/>
      <c r="C79" s="24"/>
      <c r="D79" s="24"/>
      <c r="E79" s="3"/>
      <c r="F79" s="9"/>
      <c r="G79" s="10"/>
      <c r="H79" s="3"/>
      <c r="I79" s="3"/>
      <c r="J79" s="3"/>
      <c r="K79" s="3"/>
      <c r="L79" s="3"/>
      <c r="M79" s="11"/>
      <c r="N79" s="11"/>
      <c r="O79" s="11"/>
      <c r="P79" s="3"/>
      <c r="Q79" s="12"/>
      <c r="R79" s="12"/>
      <c r="S79" s="12"/>
      <c r="T79" s="12"/>
      <c r="U79" s="12"/>
      <c r="V79" s="25"/>
      <c r="W79" s="34"/>
      <c r="X79" s="24"/>
      <c r="Y79" s="110"/>
      <c r="Z79" s="33"/>
      <c r="AA79" s="33"/>
      <c r="AB79" s="7"/>
      <c r="AC79" s="33"/>
      <c r="AD79" s="33"/>
      <c r="AE79" s="33"/>
      <c r="AF79" s="7"/>
      <c r="AG79" s="33"/>
      <c r="AH79" s="33"/>
      <c r="AI79" s="33"/>
      <c r="AJ79" s="33"/>
      <c r="AK79" s="33"/>
      <c r="AL79" s="7"/>
      <c r="AM79" s="33"/>
      <c r="AN79" s="7"/>
      <c r="AO79" s="33"/>
      <c r="AP79" s="33"/>
      <c r="AQ79" s="7"/>
      <c r="AR79" s="7"/>
      <c r="AS79" s="7"/>
      <c r="AT79" s="33"/>
      <c r="AU79" s="33"/>
      <c r="AV79" s="7"/>
      <c r="AW79" s="33"/>
      <c r="AX79" s="33"/>
      <c r="AY79" s="7"/>
      <c r="AZ79" s="33"/>
      <c r="BA79" s="33"/>
      <c r="BB79" s="7"/>
      <c r="BC79" s="33"/>
      <c r="BD79" s="7"/>
      <c r="BE79" s="33"/>
      <c r="BF79" s="7"/>
      <c r="BG79" s="33"/>
      <c r="BH79" s="7"/>
      <c r="BI79" s="33"/>
      <c r="BJ79" s="7"/>
      <c r="BK79" s="33"/>
      <c r="BL79" s="7"/>
      <c r="BM79" s="33"/>
      <c r="BN79" s="7"/>
      <c r="BO79" s="33"/>
      <c r="BP79" s="14"/>
      <c r="BQ79" s="14"/>
      <c r="BR79" s="7"/>
      <c r="BS79" s="7"/>
      <c r="BT79" s="7"/>
      <c r="BU79" s="15"/>
      <c r="BV79" s="15"/>
      <c r="BW79" s="291"/>
      <c r="BX79" s="291"/>
      <c r="BY79" s="33"/>
      <c r="BZ79" s="36"/>
    </row>
    <row r="80" spans="1:79" s="1" customFormat="1" ht="49.5" customHeight="1" x14ac:dyDescent="0.2">
      <c r="A80" s="12" t="s">
        <v>7</v>
      </c>
      <c r="B80" s="24" t="s">
        <v>62</v>
      </c>
      <c r="C80" s="24" t="s">
        <v>227</v>
      </c>
      <c r="D80" s="24"/>
      <c r="E80" s="3">
        <v>255005</v>
      </c>
      <c r="F80" s="9" t="s">
        <v>13</v>
      </c>
      <c r="G80" s="10" t="s">
        <v>13</v>
      </c>
      <c r="H80" s="3">
        <v>4</v>
      </c>
      <c r="I80" s="3">
        <v>35</v>
      </c>
      <c r="J80" s="3">
        <v>1412</v>
      </c>
      <c r="K80" s="3" t="s">
        <v>186</v>
      </c>
      <c r="L80" s="3" t="s">
        <v>189</v>
      </c>
      <c r="M80" s="11" t="s">
        <v>187</v>
      </c>
      <c r="N80" s="11" t="s">
        <v>187</v>
      </c>
      <c r="O80" s="11" t="s">
        <v>193</v>
      </c>
      <c r="P80" s="3" t="s">
        <v>188</v>
      </c>
      <c r="Q80" s="12" t="s">
        <v>110</v>
      </c>
      <c r="R80" s="12" t="s">
        <v>222</v>
      </c>
      <c r="S80" s="12"/>
      <c r="T80" s="12" t="s">
        <v>36</v>
      </c>
      <c r="U80" s="12" t="s">
        <v>13</v>
      </c>
      <c r="V80" s="25" t="s">
        <v>69</v>
      </c>
      <c r="W80" s="34"/>
      <c r="X80" s="35" t="s">
        <v>175</v>
      </c>
      <c r="Y80" s="110" t="s">
        <v>38</v>
      </c>
      <c r="Z80" s="33">
        <v>0</v>
      </c>
      <c r="AA80" s="33"/>
      <c r="AB80" s="7">
        <f>Z80+AA80</f>
        <v>0</v>
      </c>
      <c r="AC80" s="33"/>
      <c r="AD80" s="33">
        <f>AB80+AC80</f>
        <v>0</v>
      </c>
      <c r="AE80" s="33"/>
      <c r="AF80" s="7">
        <f>+AD80+AE80</f>
        <v>0</v>
      </c>
      <c r="AG80" s="33"/>
      <c r="AH80" s="33">
        <v>6500000</v>
      </c>
      <c r="AI80" s="33">
        <v>10000000</v>
      </c>
      <c r="AJ80" s="33">
        <v>0</v>
      </c>
      <c r="AK80" s="33"/>
      <c r="AL80" s="7">
        <f>AK80</f>
        <v>0</v>
      </c>
      <c r="AM80" s="33"/>
      <c r="AN80" s="7">
        <f>AM80</f>
        <v>0</v>
      </c>
      <c r="AO80" s="33"/>
      <c r="AP80" s="33"/>
      <c r="AQ80" s="7">
        <f>AO80+AP80</f>
        <v>0</v>
      </c>
      <c r="AR80" s="7">
        <f>AK80+AM80+AO80</f>
        <v>0</v>
      </c>
      <c r="AS80" s="7">
        <f>AL80+AN80+AQ80</f>
        <v>0</v>
      </c>
      <c r="AT80" s="33"/>
      <c r="AU80" s="33"/>
      <c r="AV80" s="7">
        <f>AT80+AU80</f>
        <v>0</v>
      </c>
      <c r="AW80" s="33"/>
      <c r="AX80" s="33"/>
      <c r="AY80" s="7">
        <f>AW80+AX80</f>
        <v>0</v>
      </c>
      <c r="AZ80" s="33"/>
      <c r="BA80" s="33"/>
      <c r="BB80" s="7">
        <f>AZ80+BA80</f>
        <v>0</v>
      </c>
      <c r="BC80" s="33"/>
      <c r="BD80" s="7">
        <f>BC80</f>
        <v>0</v>
      </c>
      <c r="BE80" s="33"/>
      <c r="BF80" s="7">
        <f>BE80</f>
        <v>0</v>
      </c>
      <c r="BG80" s="33"/>
      <c r="BH80" s="7">
        <f>BG80</f>
        <v>0</v>
      </c>
      <c r="BI80" s="33"/>
      <c r="BJ80" s="7">
        <f>BI80</f>
        <v>0</v>
      </c>
      <c r="BK80" s="33"/>
      <c r="BL80" s="7">
        <f>BK80</f>
        <v>0</v>
      </c>
      <c r="BM80" s="33"/>
      <c r="BN80" s="7">
        <f>BM80</f>
        <v>0</v>
      </c>
      <c r="BO80" s="33"/>
      <c r="BP80" s="14">
        <f>AK80+AM80+AO80+AT80+AW80+AZ80+BC80+BE80+BG80+BI80+BK80+BM80</f>
        <v>0</v>
      </c>
      <c r="BQ80" s="14">
        <f>AL80+AN80+AQ80+AV80+AY80+BB80</f>
        <v>0</v>
      </c>
      <c r="BR80" s="7"/>
      <c r="BS80" s="7">
        <f>AD80-BP80</f>
        <v>0</v>
      </c>
      <c r="BT80" s="7">
        <f>AD80-BQ80</f>
        <v>0</v>
      </c>
      <c r="BU80" s="15" t="e">
        <f>BP80/AD80</f>
        <v>#DIV/0!</v>
      </c>
      <c r="BV80" s="15" t="e">
        <f>BQ80/AD80</f>
        <v>#DIV/0!</v>
      </c>
      <c r="BW80" s="291"/>
      <c r="BX80" s="291"/>
      <c r="BY80" s="33"/>
      <c r="BZ80" s="36"/>
    </row>
    <row r="81" spans="1:78" s="1" customFormat="1" ht="47.25" customHeight="1" x14ac:dyDescent="0.2">
      <c r="A81" s="12" t="s">
        <v>7</v>
      </c>
      <c r="B81" s="24" t="s">
        <v>62</v>
      </c>
      <c r="C81" s="24" t="s">
        <v>227</v>
      </c>
      <c r="D81" s="24" t="s">
        <v>13</v>
      </c>
      <c r="E81" s="3">
        <v>255005</v>
      </c>
      <c r="F81" s="9" t="s">
        <v>13</v>
      </c>
      <c r="G81" s="10" t="s">
        <v>13</v>
      </c>
      <c r="H81" s="3">
        <v>4</v>
      </c>
      <c r="I81" s="3">
        <v>36</v>
      </c>
      <c r="J81" s="3">
        <v>1406</v>
      </c>
      <c r="K81" s="3" t="s">
        <v>186</v>
      </c>
      <c r="L81" s="3" t="s">
        <v>189</v>
      </c>
      <c r="M81" s="11" t="s">
        <v>187</v>
      </c>
      <c r="N81" s="11" t="s">
        <v>187</v>
      </c>
      <c r="O81" s="11" t="s">
        <v>193</v>
      </c>
      <c r="P81" s="3" t="s">
        <v>188</v>
      </c>
      <c r="Q81" s="12" t="s">
        <v>110</v>
      </c>
      <c r="R81" s="12" t="s">
        <v>222</v>
      </c>
      <c r="S81" s="12"/>
      <c r="T81" s="12" t="s">
        <v>36</v>
      </c>
      <c r="U81" s="12" t="s">
        <v>13</v>
      </c>
      <c r="V81" s="25" t="s">
        <v>69</v>
      </c>
      <c r="W81" s="111" t="s">
        <v>96</v>
      </c>
      <c r="X81" s="35" t="s">
        <v>175</v>
      </c>
      <c r="Y81" s="110" t="s">
        <v>37</v>
      </c>
      <c r="Z81" s="33">
        <v>3500000</v>
      </c>
      <c r="AA81" s="33"/>
      <c r="AB81" s="7">
        <f>Z81+AA81</f>
        <v>3500000</v>
      </c>
      <c r="AC81" s="33"/>
      <c r="AD81" s="33">
        <f>AB81+AC81</f>
        <v>3500000</v>
      </c>
      <c r="AE81" s="33">
        <v>-2500000</v>
      </c>
      <c r="AF81" s="7">
        <f>+AD81+AE81</f>
        <v>1000000</v>
      </c>
      <c r="AG81" s="33"/>
      <c r="AH81" s="33">
        <v>5000000</v>
      </c>
      <c r="AI81" s="33">
        <v>10000000</v>
      </c>
      <c r="AJ81" s="33">
        <v>10000000</v>
      </c>
      <c r="AK81" s="33"/>
      <c r="AL81" s="7">
        <f>AK81</f>
        <v>0</v>
      </c>
      <c r="AM81" s="33"/>
      <c r="AN81" s="7">
        <f>AM81</f>
        <v>0</v>
      </c>
      <c r="AO81" s="33"/>
      <c r="AP81" s="33">
        <v>0</v>
      </c>
      <c r="AQ81" s="7">
        <f>AO81+AP81</f>
        <v>0</v>
      </c>
      <c r="AR81" s="7">
        <f>AK81+AM81+AO81</f>
        <v>0</v>
      </c>
      <c r="AS81" s="7">
        <f>AL81+AN81+AQ81</f>
        <v>0</v>
      </c>
      <c r="AT81" s="33">
        <v>-3707.64</v>
      </c>
      <c r="AU81" s="33"/>
      <c r="AV81" s="7">
        <f>AT81+AU81</f>
        <v>-3707.64</v>
      </c>
      <c r="AW81" s="33">
        <v>3707.64</v>
      </c>
      <c r="AX81" s="33"/>
      <c r="AY81" s="7">
        <f>AW81+AX81</f>
        <v>3707.64</v>
      </c>
      <c r="AZ81" s="33">
        <v>2574.75</v>
      </c>
      <c r="BA81" s="33">
        <v>360.46</v>
      </c>
      <c r="BB81" s="7">
        <f>AZ81+BA81</f>
        <v>2935.21</v>
      </c>
      <c r="BC81" s="33"/>
      <c r="BD81" s="7">
        <f>BC81</f>
        <v>0</v>
      </c>
      <c r="BE81" s="33"/>
      <c r="BF81" s="7">
        <f>BE81</f>
        <v>0</v>
      </c>
      <c r="BG81" s="33"/>
      <c r="BH81" s="7">
        <f>BG81</f>
        <v>0</v>
      </c>
      <c r="BI81" s="33"/>
      <c r="BJ81" s="7">
        <f>BI81</f>
        <v>0</v>
      </c>
      <c r="BK81" s="33"/>
      <c r="BL81" s="7">
        <f>BK81</f>
        <v>0</v>
      </c>
      <c r="BM81" s="33"/>
      <c r="BN81" s="7">
        <f>BM81</f>
        <v>0</v>
      </c>
      <c r="BO81" s="33"/>
      <c r="BP81" s="14">
        <f>AK81+AM81+AO81+AT81+AW81+AZ81+BC81+BE81+BG81+BI81+BK81+BM81</f>
        <v>2574.75</v>
      </c>
      <c r="BQ81" s="14">
        <f>AL81+AN81+AQ81+AV81+AY81+BB81</f>
        <v>2935.21</v>
      </c>
      <c r="BR81" s="7"/>
      <c r="BS81" s="7">
        <f>AD81-BP81</f>
        <v>3497425.25</v>
      </c>
      <c r="BT81" s="7">
        <f>AD81-BQ81</f>
        <v>3497064.79</v>
      </c>
      <c r="BU81" s="15">
        <f>BP81/AD81</f>
        <v>7.3564285714285713E-4</v>
      </c>
      <c r="BV81" s="15">
        <f>BQ81/AD81</f>
        <v>8.3863142857142862E-4</v>
      </c>
      <c r="BW81" s="33">
        <v>46000000</v>
      </c>
      <c r="BX81" s="33"/>
      <c r="BY81" s="33"/>
      <c r="BZ81" s="36"/>
    </row>
    <row r="82" spans="1:78" s="1" customFormat="1" ht="46.5" customHeight="1" x14ac:dyDescent="0.2">
      <c r="A82" s="12" t="s">
        <v>7</v>
      </c>
      <c r="B82" s="24"/>
      <c r="C82" s="24" t="s">
        <v>227</v>
      </c>
      <c r="D82" s="24" t="s">
        <v>13</v>
      </c>
      <c r="E82" s="3">
        <v>255005</v>
      </c>
      <c r="F82" s="9" t="s">
        <v>13</v>
      </c>
      <c r="G82" s="10" t="s">
        <v>13</v>
      </c>
      <c r="H82" s="3">
        <v>6</v>
      </c>
      <c r="I82" s="3">
        <v>36</v>
      </c>
      <c r="J82" s="3">
        <v>1417</v>
      </c>
      <c r="K82" s="11" t="s">
        <v>186</v>
      </c>
      <c r="L82" s="11" t="s">
        <v>189</v>
      </c>
      <c r="M82" s="11" t="s">
        <v>187</v>
      </c>
      <c r="N82" s="11" t="s">
        <v>187</v>
      </c>
      <c r="O82" s="11" t="s">
        <v>193</v>
      </c>
      <c r="P82" s="11" t="s">
        <v>259</v>
      </c>
      <c r="Q82" s="12" t="s">
        <v>110</v>
      </c>
      <c r="R82" s="12" t="s">
        <v>222</v>
      </c>
      <c r="S82" s="12"/>
      <c r="T82" s="12"/>
      <c r="U82" s="12"/>
      <c r="V82" s="13"/>
      <c r="W82" s="34"/>
      <c r="X82" s="24" t="s">
        <v>175</v>
      </c>
      <c r="Y82" s="110" t="s">
        <v>285</v>
      </c>
      <c r="Z82" s="33"/>
      <c r="AA82" s="33"/>
      <c r="AB82" s="7">
        <v>0</v>
      </c>
      <c r="AC82" s="33">
        <v>9590</v>
      </c>
      <c r="AD82" s="33">
        <f>AB82+AC82</f>
        <v>9590</v>
      </c>
      <c r="AE82" s="33"/>
      <c r="AF82" s="7">
        <f>+AD82+AE82</f>
        <v>9590</v>
      </c>
      <c r="AG82" s="33"/>
      <c r="AH82" s="33">
        <v>0</v>
      </c>
      <c r="AI82" s="33">
        <v>0</v>
      </c>
      <c r="AJ82" s="33">
        <v>0</v>
      </c>
      <c r="AK82" s="33"/>
      <c r="AL82" s="7"/>
      <c r="AM82" s="33"/>
      <c r="AN82" s="7"/>
      <c r="AO82" s="33"/>
      <c r="AP82" s="33"/>
      <c r="AQ82" s="7"/>
      <c r="AR82" s="7"/>
      <c r="AS82" s="7"/>
      <c r="AT82" s="33"/>
      <c r="AU82" s="33"/>
      <c r="AV82" s="7"/>
      <c r="AW82" s="33"/>
      <c r="AX82" s="33"/>
      <c r="AY82" s="7"/>
      <c r="AZ82" s="33"/>
      <c r="BA82" s="33"/>
      <c r="BB82" s="7">
        <f>AZ82+BA82</f>
        <v>0</v>
      </c>
      <c r="BC82" s="33"/>
      <c r="BD82" s="7"/>
      <c r="BE82" s="33"/>
      <c r="BF82" s="7"/>
      <c r="BG82" s="33"/>
      <c r="BH82" s="7"/>
      <c r="BI82" s="33"/>
      <c r="BJ82" s="7"/>
      <c r="BK82" s="33"/>
      <c r="BL82" s="7"/>
      <c r="BM82" s="33"/>
      <c r="BN82" s="7"/>
      <c r="BO82" s="33"/>
      <c r="BP82" s="14"/>
      <c r="BQ82" s="14">
        <f>AL82+AN82+AQ82+AV82+AY82+BB82</f>
        <v>0</v>
      </c>
      <c r="BR82" s="7"/>
      <c r="BS82" s="7">
        <f>AD82-BP82</f>
        <v>9590</v>
      </c>
      <c r="BT82" s="7">
        <f>AD82-BQ82</f>
        <v>9590</v>
      </c>
      <c r="BU82" s="15">
        <f>BP82/AD82</f>
        <v>0</v>
      </c>
      <c r="BV82" s="15">
        <f>BQ82/AD82</f>
        <v>0</v>
      </c>
      <c r="BW82" s="291"/>
      <c r="BX82" s="291"/>
      <c r="BY82" s="33"/>
      <c r="BZ82" s="36"/>
    </row>
    <row r="83" spans="1:78" s="1" customFormat="1" ht="15" customHeight="1" x14ac:dyDescent="0.2">
      <c r="A83" s="12" t="s">
        <v>7</v>
      </c>
      <c r="B83" s="24" t="s">
        <v>62</v>
      </c>
      <c r="C83" s="24" t="s">
        <v>227</v>
      </c>
      <c r="D83" s="24" t="s">
        <v>13</v>
      </c>
      <c r="E83" s="3">
        <v>255005</v>
      </c>
      <c r="F83" s="9"/>
      <c r="G83" s="10"/>
      <c r="H83" s="3"/>
      <c r="I83" s="3"/>
      <c r="J83" s="3"/>
      <c r="K83" s="11"/>
      <c r="L83" s="11"/>
      <c r="M83" s="11"/>
      <c r="N83" s="11"/>
      <c r="O83" s="11"/>
      <c r="P83" s="11"/>
      <c r="Q83" s="12"/>
      <c r="R83" s="12"/>
      <c r="S83" s="12"/>
      <c r="T83" s="12"/>
      <c r="U83" s="12"/>
      <c r="V83" s="13"/>
      <c r="W83" s="34"/>
      <c r="X83" s="24" t="s">
        <v>465</v>
      </c>
      <c r="Y83" s="110" t="s">
        <v>460</v>
      </c>
      <c r="Z83" s="33"/>
      <c r="AA83" s="33"/>
      <c r="AB83" s="7"/>
      <c r="AC83" s="33"/>
      <c r="AD83" s="33"/>
      <c r="AE83" s="33"/>
      <c r="AF83" s="7"/>
      <c r="AG83" s="33"/>
      <c r="AH83" s="33">
        <v>6000000</v>
      </c>
      <c r="AI83" s="33">
        <v>7000000</v>
      </c>
      <c r="AJ83" s="33">
        <v>33000000</v>
      </c>
      <c r="AK83" s="33"/>
      <c r="AL83" s="7"/>
      <c r="AM83" s="33"/>
      <c r="AN83" s="7"/>
      <c r="AO83" s="33"/>
      <c r="AP83" s="33"/>
      <c r="AQ83" s="7"/>
      <c r="AR83" s="7"/>
      <c r="AS83" s="7"/>
      <c r="AT83" s="33"/>
      <c r="AU83" s="33"/>
      <c r="AV83" s="7"/>
      <c r="AW83" s="33"/>
      <c r="AX83" s="33"/>
      <c r="AY83" s="7"/>
      <c r="AZ83" s="33"/>
      <c r="BA83" s="33"/>
      <c r="BB83" s="7"/>
      <c r="BC83" s="33"/>
      <c r="BD83" s="7"/>
      <c r="BE83" s="33"/>
      <c r="BF83" s="7"/>
      <c r="BG83" s="33"/>
      <c r="BH83" s="7"/>
      <c r="BI83" s="33"/>
      <c r="BJ83" s="7"/>
      <c r="BK83" s="33"/>
      <c r="BL83" s="7"/>
      <c r="BM83" s="33"/>
      <c r="BN83" s="7"/>
      <c r="BO83" s="33"/>
      <c r="BP83" s="14"/>
      <c r="BQ83" s="14"/>
      <c r="BR83" s="7"/>
      <c r="BS83" s="7"/>
      <c r="BT83" s="7"/>
      <c r="BU83" s="15"/>
      <c r="BV83" s="15"/>
      <c r="BW83" s="291"/>
      <c r="BX83" s="291"/>
      <c r="BY83" s="33"/>
      <c r="BZ83" s="36"/>
    </row>
    <row r="84" spans="1:78" s="1" customFormat="1" ht="17.100000000000001" customHeight="1" thickBot="1" x14ac:dyDescent="0.3">
      <c r="A84" s="12"/>
      <c r="B84" s="24"/>
      <c r="C84" s="24"/>
      <c r="D84" s="24"/>
      <c r="E84" s="3"/>
      <c r="F84" s="9"/>
      <c r="G84" s="10"/>
      <c r="H84" s="3"/>
      <c r="I84" s="3"/>
      <c r="J84" s="3"/>
      <c r="K84" s="11"/>
      <c r="L84" s="11"/>
      <c r="M84" s="11"/>
      <c r="N84" s="11"/>
      <c r="O84" s="11"/>
      <c r="P84" s="11"/>
      <c r="Q84" s="12"/>
      <c r="R84" s="12"/>
      <c r="S84" s="12"/>
      <c r="T84" s="12"/>
      <c r="U84" s="12"/>
      <c r="V84" s="13"/>
      <c r="W84" s="34"/>
      <c r="X84" s="24"/>
      <c r="Y84" s="110"/>
      <c r="Z84" s="33"/>
      <c r="AA84" s="33"/>
      <c r="AB84" s="7"/>
      <c r="AC84" s="33"/>
      <c r="AD84" s="33"/>
      <c r="AE84" s="33"/>
      <c r="AF84" s="7"/>
      <c r="AG84" s="33"/>
      <c r="AH84" s="315">
        <f>SUM(AH80:AH83)</f>
        <v>17500000</v>
      </c>
      <c r="AI84" s="315">
        <f>SUM(AI80:AI83)</f>
        <v>27000000</v>
      </c>
      <c r="AJ84" s="315">
        <f>SUM(AJ80:AJ83)</f>
        <v>43000000</v>
      </c>
      <c r="AK84" s="33"/>
      <c r="AL84" s="7"/>
      <c r="AM84" s="33"/>
      <c r="AN84" s="7"/>
      <c r="AO84" s="33"/>
      <c r="AP84" s="33"/>
      <c r="AQ84" s="7"/>
      <c r="AR84" s="7"/>
      <c r="AS84" s="7"/>
      <c r="AT84" s="33"/>
      <c r="AU84" s="33"/>
      <c r="AV84" s="7"/>
      <c r="AW84" s="33"/>
      <c r="AX84" s="33"/>
      <c r="AY84" s="7"/>
      <c r="AZ84" s="33"/>
      <c r="BA84" s="33"/>
      <c r="BB84" s="7"/>
      <c r="BC84" s="33"/>
      <c r="BD84" s="7"/>
      <c r="BE84" s="33"/>
      <c r="BF84" s="7"/>
      <c r="BG84" s="33"/>
      <c r="BH84" s="7"/>
      <c r="BI84" s="33"/>
      <c r="BJ84" s="7"/>
      <c r="BK84" s="33"/>
      <c r="BL84" s="7"/>
      <c r="BM84" s="33"/>
      <c r="BN84" s="7"/>
      <c r="BO84" s="33"/>
      <c r="BP84" s="14"/>
      <c r="BQ84" s="14"/>
      <c r="BR84" s="7"/>
      <c r="BS84" s="7"/>
      <c r="BT84" s="7"/>
      <c r="BU84" s="15"/>
      <c r="BV84" s="15"/>
      <c r="BW84" s="291"/>
      <c r="BX84" s="291"/>
      <c r="BY84" s="33"/>
      <c r="BZ84" s="36"/>
    </row>
    <row r="85" spans="1:78" s="1" customFormat="1" ht="15" customHeight="1" x14ac:dyDescent="0.2">
      <c r="A85" s="12"/>
      <c r="B85" s="24"/>
      <c r="C85" s="24"/>
      <c r="D85" s="24"/>
      <c r="E85" s="3"/>
      <c r="F85" s="9"/>
      <c r="G85" s="10"/>
      <c r="H85" s="3"/>
      <c r="I85" s="3"/>
      <c r="J85" s="3"/>
      <c r="K85" s="11"/>
      <c r="L85" s="11"/>
      <c r="M85" s="11"/>
      <c r="N85" s="11"/>
      <c r="O85" s="11"/>
      <c r="P85" s="11"/>
      <c r="Q85" s="12"/>
      <c r="R85" s="12"/>
      <c r="S85" s="12"/>
      <c r="T85" s="12"/>
      <c r="U85" s="12"/>
      <c r="V85" s="13"/>
      <c r="W85" s="34"/>
      <c r="X85" s="24"/>
      <c r="Y85" s="110"/>
      <c r="Z85" s="33"/>
      <c r="AA85" s="33"/>
      <c r="AB85" s="7"/>
      <c r="AC85" s="33"/>
      <c r="AD85" s="33"/>
      <c r="AE85" s="33"/>
      <c r="AF85" s="7"/>
      <c r="AG85" s="33"/>
      <c r="AH85" s="33"/>
      <c r="AI85" s="33"/>
      <c r="AJ85" s="33"/>
      <c r="AK85" s="33"/>
      <c r="AL85" s="7"/>
      <c r="AM85" s="33"/>
      <c r="AN85" s="7"/>
      <c r="AO85" s="33"/>
      <c r="AP85" s="33"/>
      <c r="AQ85" s="7"/>
      <c r="AR85" s="7"/>
      <c r="AS85" s="7"/>
      <c r="AT85" s="33"/>
      <c r="AU85" s="33"/>
      <c r="AV85" s="7"/>
      <c r="AW85" s="33"/>
      <c r="AX85" s="33"/>
      <c r="AY85" s="7"/>
      <c r="AZ85" s="33"/>
      <c r="BA85" s="33"/>
      <c r="BB85" s="7"/>
      <c r="BC85" s="33"/>
      <c r="BD85" s="7"/>
      <c r="BE85" s="33"/>
      <c r="BF85" s="7"/>
      <c r="BG85" s="33"/>
      <c r="BH85" s="7"/>
      <c r="BI85" s="33"/>
      <c r="BJ85" s="7"/>
      <c r="BK85" s="33"/>
      <c r="BL85" s="7"/>
      <c r="BM85" s="33"/>
      <c r="BN85" s="7"/>
      <c r="BO85" s="33"/>
      <c r="BP85" s="14"/>
      <c r="BQ85" s="14"/>
      <c r="BR85" s="7"/>
      <c r="BS85" s="7"/>
      <c r="BT85" s="7"/>
      <c r="BU85" s="15"/>
      <c r="BV85" s="15"/>
      <c r="BW85" s="291"/>
      <c r="BX85" s="291"/>
      <c r="BY85" s="33"/>
      <c r="BZ85" s="36"/>
    </row>
    <row r="86" spans="1:78" s="1" customFormat="1" ht="15" customHeight="1" x14ac:dyDescent="0.2">
      <c r="A86" s="12" t="s">
        <v>7</v>
      </c>
      <c r="B86" s="24" t="s">
        <v>62</v>
      </c>
      <c r="C86" s="24" t="s">
        <v>227</v>
      </c>
      <c r="D86" s="24" t="s">
        <v>13</v>
      </c>
      <c r="E86" s="3">
        <v>255005</v>
      </c>
      <c r="F86" s="9" t="s">
        <v>13</v>
      </c>
      <c r="G86" s="10" t="s">
        <v>13</v>
      </c>
      <c r="H86" s="3">
        <v>4</v>
      </c>
      <c r="I86" s="3">
        <v>36</v>
      </c>
      <c r="J86" s="3">
        <v>1407</v>
      </c>
      <c r="K86" s="3" t="s">
        <v>186</v>
      </c>
      <c r="L86" s="3" t="s">
        <v>189</v>
      </c>
      <c r="M86" s="11" t="s">
        <v>187</v>
      </c>
      <c r="N86" s="11" t="s">
        <v>187</v>
      </c>
      <c r="O86" s="11" t="s">
        <v>193</v>
      </c>
      <c r="P86" s="3" t="s">
        <v>188</v>
      </c>
      <c r="Q86" s="12" t="s">
        <v>110</v>
      </c>
      <c r="R86" s="12" t="s">
        <v>222</v>
      </c>
      <c r="S86" s="12"/>
      <c r="T86" s="12" t="s">
        <v>36</v>
      </c>
      <c r="U86" s="12" t="s">
        <v>13</v>
      </c>
      <c r="V86" s="25" t="s">
        <v>69</v>
      </c>
      <c r="W86" s="111">
        <v>10</v>
      </c>
      <c r="X86" s="24" t="s">
        <v>170</v>
      </c>
      <c r="Y86" s="110" t="s">
        <v>37</v>
      </c>
      <c r="Z86" s="33">
        <v>5524440</v>
      </c>
      <c r="AA86" s="33"/>
      <c r="AB86" s="7">
        <f>Z86+AA86</f>
        <v>5524440</v>
      </c>
      <c r="AC86" s="33">
        <v>-1300000</v>
      </c>
      <c r="AD86" s="33">
        <f>AB86+AC86</f>
        <v>4224440</v>
      </c>
      <c r="AE86" s="33">
        <v>-2000000</v>
      </c>
      <c r="AF86" s="7">
        <f>+AD86+AE86</f>
        <v>2224440</v>
      </c>
      <c r="AG86" s="33"/>
      <c r="AH86" s="33">
        <v>7275000</v>
      </c>
      <c r="AI86" s="33">
        <f>29900000-250000</f>
        <v>29650000</v>
      </c>
      <c r="AJ86" s="33">
        <f>29900000-10000000</f>
        <v>19900000</v>
      </c>
      <c r="AK86" s="33"/>
      <c r="AL86" s="7">
        <f>AK86</f>
        <v>0</v>
      </c>
      <c r="AM86" s="33"/>
      <c r="AN86" s="7">
        <f>AM86</f>
        <v>0</v>
      </c>
      <c r="AO86" s="33"/>
      <c r="AP86" s="33">
        <v>0</v>
      </c>
      <c r="AQ86" s="7">
        <f>AO86+AP86</f>
        <v>0</v>
      </c>
      <c r="AR86" s="7">
        <f>AK86+AM86+AO86</f>
        <v>0</v>
      </c>
      <c r="AS86" s="7">
        <f>AL86+AN86+AQ86</f>
        <v>0</v>
      </c>
      <c r="AT86" s="33">
        <v>417514</v>
      </c>
      <c r="AU86" s="33">
        <v>58451.96</v>
      </c>
      <c r="AV86" s="7">
        <f>AT86+AU86</f>
        <v>475965.96</v>
      </c>
      <c r="AW86" s="33">
        <v>168266.6</v>
      </c>
      <c r="AX86" s="33">
        <v>23557.32</v>
      </c>
      <c r="AY86" s="7">
        <f>AW86+AX86</f>
        <v>191823.92</v>
      </c>
      <c r="AZ86" s="33">
        <v>13864.37</v>
      </c>
      <c r="BA86" s="33">
        <v>1941.01</v>
      </c>
      <c r="BB86" s="7">
        <f>AZ86+BA86</f>
        <v>15805.380000000001</v>
      </c>
      <c r="BC86" s="33"/>
      <c r="BD86" s="7">
        <f>BC86</f>
        <v>0</v>
      </c>
      <c r="BE86" s="33"/>
      <c r="BF86" s="7">
        <f>BE86</f>
        <v>0</v>
      </c>
      <c r="BG86" s="33"/>
      <c r="BH86" s="7">
        <f>BG86</f>
        <v>0</v>
      </c>
      <c r="BI86" s="33"/>
      <c r="BJ86" s="7">
        <f>BI86</f>
        <v>0</v>
      </c>
      <c r="BK86" s="33"/>
      <c r="BL86" s="7">
        <f>BK86</f>
        <v>0</v>
      </c>
      <c r="BM86" s="33"/>
      <c r="BN86" s="7">
        <f>BM86</f>
        <v>0</v>
      </c>
      <c r="BO86" s="33"/>
      <c r="BP86" s="14">
        <f>AK86+AM86+AO86+AT86+AW86+AZ86+BC86+BE86+BG86+BI86+BK86+BM86</f>
        <v>599644.97</v>
      </c>
      <c r="BQ86" s="14">
        <f>AL86+AN86+AQ86+AV86+AY86+BB86</f>
        <v>683595.26</v>
      </c>
      <c r="BR86" s="7"/>
      <c r="BS86" s="7">
        <f>AD86-BP86</f>
        <v>3624795.0300000003</v>
      </c>
      <c r="BT86" s="7">
        <f>AD86-BQ86</f>
        <v>3540844.74</v>
      </c>
      <c r="BU86" s="15">
        <f>BP86/AD86</f>
        <v>0.14194661777655737</v>
      </c>
      <c r="BV86" s="15">
        <f>BQ86/AD86</f>
        <v>0.16181914289231236</v>
      </c>
      <c r="BW86" s="33">
        <v>68000000</v>
      </c>
      <c r="BX86" s="33"/>
      <c r="BY86" s="33"/>
      <c r="BZ86" s="36"/>
    </row>
    <row r="87" spans="1:78" s="1" customFormat="1" ht="15" customHeight="1" x14ac:dyDescent="0.2">
      <c r="A87" s="12" t="s">
        <v>7</v>
      </c>
      <c r="B87" s="24"/>
      <c r="C87" s="24" t="s">
        <v>227</v>
      </c>
      <c r="D87" s="24" t="s">
        <v>13</v>
      </c>
      <c r="E87" s="3">
        <v>255005</v>
      </c>
      <c r="F87" s="9" t="s">
        <v>13</v>
      </c>
      <c r="G87" s="10" t="s">
        <v>13</v>
      </c>
      <c r="H87" s="3">
        <v>6</v>
      </c>
      <c r="I87" s="3">
        <v>36</v>
      </c>
      <c r="J87" s="3">
        <v>1418</v>
      </c>
      <c r="K87" s="11" t="s">
        <v>186</v>
      </c>
      <c r="L87" s="11" t="s">
        <v>189</v>
      </c>
      <c r="M87" s="11" t="s">
        <v>187</v>
      </c>
      <c r="N87" s="11" t="s">
        <v>187</v>
      </c>
      <c r="O87" s="11" t="s">
        <v>193</v>
      </c>
      <c r="P87" s="11" t="s">
        <v>259</v>
      </c>
      <c r="Q87" s="12" t="s">
        <v>110</v>
      </c>
      <c r="R87" s="12" t="s">
        <v>222</v>
      </c>
      <c r="S87" s="12"/>
      <c r="T87" s="12"/>
      <c r="U87" s="12"/>
      <c r="V87" s="13"/>
      <c r="W87" s="34"/>
      <c r="X87" s="24" t="s">
        <v>170</v>
      </c>
      <c r="Y87" s="110" t="s">
        <v>285</v>
      </c>
      <c r="Z87" s="33"/>
      <c r="AA87" s="33"/>
      <c r="AB87" s="7">
        <v>0</v>
      </c>
      <c r="AC87" s="33">
        <v>1344861</v>
      </c>
      <c r="AD87" s="33">
        <f>AB87+AC87</f>
        <v>1344861</v>
      </c>
      <c r="AE87" s="33"/>
      <c r="AF87" s="7">
        <f>+AD87+AE87</f>
        <v>1344861</v>
      </c>
      <c r="AG87" s="33"/>
      <c r="AH87" s="33"/>
      <c r="AI87" s="33"/>
      <c r="AJ87" s="33"/>
      <c r="AK87" s="33"/>
      <c r="AL87" s="7"/>
      <c r="AM87" s="33"/>
      <c r="AN87" s="7"/>
      <c r="AO87" s="33"/>
      <c r="AP87" s="33"/>
      <c r="AQ87" s="7"/>
      <c r="AR87" s="7"/>
      <c r="AS87" s="7"/>
      <c r="AT87" s="33"/>
      <c r="AU87" s="33"/>
      <c r="AV87" s="7"/>
      <c r="AW87" s="33"/>
      <c r="AX87" s="33"/>
      <c r="AY87" s="7"/>
      <c r="AZ87" s="33"/>
      <c r="BA87" s="33"/>
      <c r="BB87" s="7">
        <f>AZ87+BA87</f>
        <v>0</v>
      </c>
      <c r="BC87" s="33"/>
      <c r="BD87" s="7"/>
      <c r="BE87" s="33"/>
      <c r="BF87" s="7"/>
      <c r="BG87" s="33"/>
      <c r="BH87" s="7"/>
      <c r="BI87" s="33"/>
      <c r="BJ87" s="7"/>
      <c r="BK87" s="33"/>
      <c r="BL87" s="7"/>
      <c r="BM87" s="33"/>
      <c r="BN87" s="7"/>
      <c r="BO87" s="33"/>
      <c r="BP87" s="14"/>
      <c r="BQ87" s="14">
        <f>AL87+AN87+AQ87+AV87+AY87+BB87</f>
        <v>0</v>
      </c>
      <c r="BR87" s="7"/>
      <c r="BS87" s="7">
        <f>AD87-BP87</f>
        <v>1344861</v>
      </c>
      <c r="BT87" s="7">
        <f>AD87-BQ87</f>
        <v>1344861</v>
      </c>
      <c r="BU87" s="15">
        <f>BP87/AD87</f>
        <v>0</v>
      </c>
      <c r="BV87" s="15">
        <f>BQ87/AD87</f>
        <v>0</v>
      </c>
      <c r="BW87" s="291"/>
      <c r="BX87" s="291"/>
      <c r="BY87" s="33"/>
      <c r="BZ87" s="36"/>
    </row>
    <row r="88" spans="1:78" s="1" customFormat="1" ht="15" customHeight="1" x14ac:dyDescent="0.2">
      <c r="A88" s="12" t="s">
        <v>7</v>
      </c>
      <c r="B88" s="24" t="s">
        <v>62</v>
      </c>
      <c r="C88" s="24" t="s">
        <v>227</v>
      </c>
      <c r="D88" s="24" t="s">
        <v>13</v>
      </c>
      <c r="E88" s="3">
        <v>255005</v>
      </c>
      <c r="F88" s="9"/>
      <c r="G88" s="10"/>
      <c r="H88" s="3"/>
      <c r="I88" s="3"/>
      <c r="J88" s="3"/>
      <c r="K88" s="11"/>
      <c r="L88" s="11"/>
      <c r="M88" s="11"/>
      <c r="N88" s="11"/>
      <c r="O88" s="11"/>
      <c r="P88" s="11"/>
      <c r="Q88" s="12"/>
      <c r="R88" s="12"/>
      <c r="S88" s="12"/>
      <c r="T88" s="12"/>
      <c r="U88" s="12"/>
      <c r="V88" s="13"/>
      <c r="W88" s="34"/>
      <c r="X88" s="24" t="s">
        <v>466</v>
      </c>
      <c r="Y88" s="110" t="s">
        <v>460</v>
      </c>
      <c r="Z88" s="33"/>
      <c r="AA88" s="33"/>
      <c r="AB88" s="7"/>
      <c r="AC88" s="33"/>
      <c r="AD88" s="33"/>
      <c r="AE88" s="33"/>
      <c r="AF88" s="7"/>
      <c r="AG88" s="33"/>
      <c r="AH88" s="33">
        <v>300000</v>
      </c>
      <c r="AI88" s="33">
        <v>100861424</v>
      </c>
      <c r="AJ88" s="33">
        <v>26000000</v>
      </c>
      <c r="AK88" s="33"/>
      <c r="AL88" s="7"/>
      <c r="AM88" s="33"/>
      <c r="AN88" s="7"/>
      <c r="AO88" s="33"/>
      <c r="AP88" s="33"/>
      <c r="AQ88" s="7"/>
      <c r="AR88" s="7"/>
      <c r="AS88" s="7"/>
      <c r="AT88" s="33"/>
      <c r="AU88" s="33"/>
      <c r="AV88" s="7"/>
      <c r="AW88" s="33"/>
      <c r="AX88" s="33"/>
      <c r="AY88" s="7"/>
      <c r="AZ88" s="33"/>
      <c r="BA88" s="33"/>
      <c r="BB88" s="7"/>
      <c r="BC88" s="33"/>
      <c r="BD88" s="7"/>
      <c r="BE88" s="33"/>
      <c r="BF88" s="7"/>
      <c r="BG88" s="33"/>
      <c r="BH88" s="7"/>
      <c r="BI88" s="33"/>
      <c r="BJ88" s="7"/>
      <c r="BK88" s="33"/>
      <c r="BL88" s="7"/>
      <c r="BM88" s="33"/>
      <c r="BN88" s="7"/>
      <c r="BO88" s="33"/>
      <c r="BP88" s="14"/>
      <c r="BQ88" s="14"/>
      <c r="BR88" s="7"/>
      <c r="BS88" s="7"/>
      <c r="BT88" s="7"/>
      <c r="BU88" s="15"/>
      <c r="BV88" s="15"/>
      <c r="BW88" s="291"/>
      <c r="BX88" s="291"/>
      <c r="BY88" s="33"/>
      <c r="BZ88" s="36"/>
    </row>
    <row r="89" spans="1:78" s="1" customFormat="1" ht="17.100000000000001" customHeight="1" thickBot="1" x14ac:dyDescent="0.3">
      <c r="A89" s="12"/>
      <c r="B89" s="24"/>
      <c r="C89" s="24"/>
      <c r="D89" s="24"/>
      <c r="E89" s="3"/>
      <c r="F89" s="9"/>
      <c r="G89" s="10"/>
      <c r="H89" s="3"/>
      <c r="I89" s="3"/>
      <c r="J89" s="3"/>
      <c r="K89" s="11"/>
      <c r="L89" s="11"/>
      <c r="M89" s="11"/>
      <c r="N89" s="11"/>
      <c r="O89" s="11"/>
      <c r="P89" s="11"/>
      <c r="Q89" s="12"/>
      <c r="R89" s="12"/>
      <c r="S89" s="12"/>
      <c r="T89" s="12"/>
      <c r="U89" s="12"/>
      <c r="V89" s="13"/>
      <c r="W89" s="34"/>
      <c r="X89" s="24"/>
      <c r="Y89" s="110"/>
      <c r="Z89" s="33"/>
      <c r="AA89" s="33"/>
      <c r="AB89" s="7"/>
      <c r="AC89" s="33"/>
      <c r="AD89" s="33"/>
      <c r="AE89" s="33"/>
      <c r="AF89" s="7"/>
      <c r="AG89" s="33"/>
      <c r="AH89" s="315">
        <f>SUM(AH86:AH88)</f>
        <v>7575000</v>
      </c>
      <c r="AI89" s="315">
        <f>SUM(AI86:AI88)</f>
        <v>130511424</v>
      </c>
      <c r="AJ89" s="315">
        <f>SUM(AJ86:AJ88)</f>
        <v>45900000</v>
      </c>
      <c r="AK89" s="33"/>
      <c r="AL89" s="7"/>
      <c r="AM89" s="33"/>
      <c r="AN89" s="7"/>
      <c r="AO89" s="33"/>
      <c r="AP89" s="33"/>
      <c r="AQ89" s="7"/>
      <c r="AR89" s="7"/>
      <c r="AS89" s="7"/>
      <c r="AT89" s="33"/>
      <c r="AU89" s="33"/>
      <c r="AV89" s="7"/>
      <c r="AW89" s="33"/>
      <c r="AX89" s="33"/>
      <c r="AY89" s="7"/>
      <c r="AZ89" s="33"/>
      <c r="BA89" s="33"/>
      <c r="BB89" s="7"/>
      <c r="BC89" s="33"/>
      <c r="BD89" s="7"/>
      <c r="BE89" s="33"/>
      <c r="BF89" s="7"/>
      <c r="BG89" s="33"/>
      <c r="BH89" s="7"/>
      <c r="BI89" s="33"/>
      <c r="BJ89" s="7"/>
      <c r="BK89" s="33"/>
      <c r="BL89" s="7"/>
      <c r="BM89" s="33"/>
      <c r="BN89" s="7"/>
      <c r="BO89" s="33"/>
      <c r="BP89" s="14"/>
      <c r="BQ89" s="14"/>
      <c r="BR89" s="7"/>
      <c r="BS89" s="7"/>
      <c r="BT89" s="7"/>
      <c r="BU89" s="15"/>
      <c r="BV89" s="15"/>
      <c r="BW89" s="291"/>
      <c r="BX89" s="291"/>
      <c r="BY89" s="33"/>
      <c r="BZ89" s="36"/>
    </row>
    <row r="90" spans="1:78" s="1" customFormat="1" ht="15" customHeight="1" x14ac:dyDescent="0.2">
      <c r="A90" s="12"/>
      <c r="B90" s="24"/>
      <c r="C90" s="24"/>
      <c r="D90" s="24"/>
      <c r="E90" s="3"/>
      <c r="F90" s="9"/>
      <c r="G90" s="10"/>
      <c r="H90" s="3"/>
      <c r="I90" s="3"/>
      <c r="J90" s="3"/>
      <c r="K90" s="11"/>
      <c r="L90" s="11"/>
      <c r="M90" s="11"/>
      <c r="N90" s="11"/>
      <c r="O90" s="11"/>
      <c r="P90" s="11"/>
      <c r="Q90" s="12"/>
      <c r="R90" s="12"/>
      <c r="S90" s="12"/>
      <c r="T90" s="12"/>
      <c r="U90" s="12"/>
      <c r="V90" s="13"/>
      <c r="W90" s="34"/>
      <c r="X90" s="24"/>
      <c r="Y90" s="110"/>
      <c r="Z90" s="33"/>
      <c r="AA90" s="33"/>
      <c r="AB90" s="7"/>
      <c r="AC90" s="33"/>
      <c r="AD90" s="33"/>
      <c r="AE90" s="33"/>
      <c r="AF90" s="7"/>
      <c r="AG90" s="33"/>
      <c r="AH90" s="33"/>
      <c r="AI90" s="33"/>
      <c r="AJ90" s="33"/>
      <c r="AK90" s="33"/>
      <c r="AL90" s="7"/>
      <c r="AM90" s="33"/>
      <c r="AN90" s="7"/>
      <c r="AO90" s="33"/>
      <c r="AP90" s="33"/>
      <c r="AQ90" s="7"/>
      <c r="AR90" s="7"/>
      <c r="AS90" s="7"/>
      <c r="AT90" s="33"/>
      <c r="AU90" s="33"/>
      <c r="AV90" s="7"/>
      <c r="AW90" s="33"/>
      <c r="AX90" s="33"/>
      <c r="AY90" s="7"/>
      <c r="AZ90" s="33"/>
      <c r="BA90" s="33"/>
      <c r="BB90" s="7"/>
      <c r="BC90" s="33"/>
      <c r="BD90" s="7"/>
      <c r="BE90" s="33"/>
      <c r="BF90" s="7"/>
      <c r="BG90" s="33"/>
      <c r="BH90" s="7"/>
      <c r="BI90" s="33"/>
      <c r="BJ90" s="7"/>
      <c r="BK90" s="33"/>
      <c r="BL90" s="7"/>
      <c r="BM90" s="33"/>
      <c r="BN90" s="7"/>
      <c r="BO90" s="33"/>
      <c r="BP90" s="14"/>
      <c r="BQ90" s="14"/>
      <c r="BR90" s="7"/>
      <c r="BS90" s="7"/>
      <c r="BT90" s="7"/>
      <c r="BU90" s="15"/>
      <c r="BV90" s="15"/>
      <c r="BW90" s="291"/>
      <c r="BX90" s="291"/>
      <c r="BY90" s="33"/>
      <c r="BZ90" s="36"/>
    </row>
    <row r="91" spans="1:78" s="1" customFormat="1" ht="17.100000000000001" customHeight="1" x14ac:dyDescent="0.25">
      <c r="A91" s="12" t="s">
        <v>7</v>
      </c>
      <c r="B91" s="24" t="s">
        <v>62</v>
      </c>
      <c r="C91" s="24" t="s">
        <v>227</v>
      </c>
      <c r="D91" s="24" t="s">
        <v>13</v>
      </c>
      <c r="E91" s="3">
        <v>255005</v>
      </c>
      <c r="F91" s="9" t="s">
        <v>13</v>
      </c>
      <c r="G91" s="10" t="s">
        <v>13</v>
      </c>
      <c r="H91" s="3">
        <v>4</v>
      </c>
      <c r="I91" s="3">
        <v>36</v>
      </c>
      <c r="J91" s="3">
        <v>1408</v>
      </c>
      <c r="K91" s="3" t="s">
        <v>186</v>
      </c>
      <c r="L91" s="3" t="s">
        <v>189</v>
      </c>
      <c r="M91" s="11" t="s">
        <v>187</v>
      </c>
      <c r="N91" s="11" t="s">
        <v>187</v>
      </c>
      <c r="O91" s="11" t="s">
        <v>193</v>
      </c>
      <c r="P91" s="3" t="s">
        <v>188</v>
      </c>
      <c r="Q91" s="12" t="s">
        <v>110</v>
      </c>
      <c r="R91" s="12" t="s">
        <v>222</v>
      </c>
      <c r="S91" s="12"/>
      <c r="T91" s="12" t="s">
        <v>36</v>
      </c>
      <c r="U91" s="12" t="s">
        <v>13</v>
      </c>
      <c r="V91" s="25" t="s">
        <v>69</v>
      </c>
      <c r="W91" s="111">
        <v>31</v>
      </c>
      <c r="X91" s="24" t="s">
        <v>154</v>
      </c>
      <c r="Y91" s="110" t="s">
        <v>37</v>
      </c>
      <c r="Z91" s="33">
        <v>10000000</v>
      </c>
      <c r="AA91" s="33"/>
      <c r="AB91" s="7">
        <f>Z91+AA91</f>
        <v>10000000</v>
      </c>
      <c r="AC91" s="33">
        <v>4000000</v>
      </c>
      <c r="AD91" s="33">
        <f>AB91+AC91</f>
        <v>14000000</v>
      </c>
      <c r="AE91" s="33"/>
      <c r="AF91" s="7">
        <f>+AD91+AE91</f>
        <v>14000000</v>
      </c>
      <c r="AG91" s="33"/>
      <c r="AH91" s="33">
        <v>8000000</v>
      </c>
      <c r="AI91" s="313">
        <v>0</v>
      </c>
      <c r="AJ91" s="313">
        <v>0</v>
      </c>
      <c r="AK91" s="33"/>
      <c r="AL91" s="7">
        <f>AK91</f>
        <v>0</v>
      </c>
      <c r="AM91" s="33"/>
      <c r="AN91" s="7">
        <f>AM91</f>
        <v>0</v>
      </c>
      <c r="AO91" s="33">
        <v>312750</v>
      </c>
      <c r="AP91" s="33"/>
      <c r="AQ91" s="7">
        <f>AO91+AP91</f>
        <v>312750</v>
      </c>
      <c r="AR91" s="7">
        <f>AK91+AM91+AO91</f>
        <v>312750</v>
      </c>
      <c r="AS91" s="7">
        <f>AL91+AN91+AQ91</f>
        <v>312750</v>
      </c>
      <c r="AT91" s="33">
        <v>34750</v>
      </c>
      <c r="AU91" s="33">
        <v>43785</v>
      </c>
      <c r="AV91" s="7">
        <f>AT91+AU91</f>
        <v>78535</v>
      </c>
      <c r="AW91" s="33">
        <v>793348.34</v>
      </c>
      <c r="AX91" s="33">
        <v>107369.96</v>
      </c>
      <c r="AY91" s="7">
        <f>AW91+AX91</f>
        <v>900718.29999999993</v>
      </c>
      <c r="AZ91" s="33">
        <v>439562.11</v>
      </c>
      <c r="BA91" s="33">
        <v>61538.7</v>
      </c>
      <c r="BB91" s="7">
        <f>AZ91+BA91</f>
        <v>501100.81</v>
      </c>
      <c r="BC91" s="33"/>
      <c r="BD91" s="7">
        <f>BC91</f>
        <v>0</v>
      </c>
      <c r="BE91" s="33"/>
      <c r="BF91" s="7">
        <f>BE91</f>
        <v>0</v>
      </c>
      <c r="BG91" s="33"/>
      <c r="BH91" s="7">
        <f>BG91</f>
        <v>0</v>
      </c>
      <c r="BI91" s="33"/>
      <c r="BJ91" s="7">
        <f>BI91</f>
        <v>0</v>
      </c>
      <c r="BK91" s="33"/>
      <c r="BL91" s="7">
        <f>BK91</f>
        <v>0</v>
      </c>
      <c r="BM91" s="33"/>
      <c r="BN91" s="7">
        <f>BM91</f>
        <v>0</v>
      </c>
      <c r="BO91" s="33"/>
      <c r="BP91" s="14">
        <f>AK91+AM91+AO91+AT91+AW91+AZ91+BC91+BE91+BG91+BI91+BK91+BM91</f>
        <v>1580410.4499999997</v>
      </c>
      <c r="BQ91" s="14">
        <f>AL91+AN91+AQ91+AV91+AY91+BB91</f>
        <v>1793104.1099999999</v>
      </c>
      <c r="BR91" s="7"/>
      <c r="BS91" s="7">
        <f>AD91-BP91</f>
        <v>12419589.550000001</v>
      </c>
      <c r="BT91" s="7">
        <f>AD91-BQ91</f>
        <v>12206895.890000001</v>
      </c>
      <c r="BU91" s="15">
        <f>BP91/AD91</f>
        <v>0.11288646071428569</v>
      </c>
      <c r="BV91" s="15">
        <f>BQ91/AD91</f>
        <v>0.12807886499999999</v>
      </c>
      <c r="BW91" s="33"/>
      <c r="BX91" s="33"/>
      <c r="BY91" s="33"/>
      <c r="BZ91" s="36"/>
    </row>
    <row r="92" spans="1:78" s="1" customFormat="1" ht="15" customHeight="1" x14ac:dyDescent="0.2">
      <c r="A92" s="12" t="s">
        <v>7</v>
      </c>
      <c r="B92" s="24" t="s">
        <v>62</v>
      </c>
      <c r="C92" s="24" t="s">
        <v>227</v>
      </c>
      <c r="D92" s="24" t="s">
        <v>13</v>
      </c>
      <c r="E92" s="3">
        <v>255005</v>
      </c>
      <c r="F92" s="9" t="s">
        <v>13</v>
      </c>
      <c r="G92" s="10" t="s">
        <v>13</v>
      </c>
      <c r="H92" s="3">
        <v>4</v>
      </c>
      <c r="I92" s="3">
        <v>36</v>
      </c>
      <c r="J92" s="3">
        <v>1408</v>
      </c>
      <c r="K92" s="3" t="s">
        <v>186</v>
      </c>
      <c r="L92" s="3" t="s">
        <v>189</v>
      </c>
      <c r="M92" s="11" t="s">
        <v>187</v>
      </c>
      <c r="N92" s="11" t="s">
        <v>187</v>
      </c>
      <c r="O92" s="11" t="s">
        <v>193</v>
      </c>
      <c r="P92" s="3" t="s">
        <v>188</v>
      </c>
      <c r="Q92" s="12" t="s">
        <v>110</v>
      </c>
      <c r="R92" s="12" t="s">
        <v>222</v>
      </c>
      <c r="S92" s="12"/>
      <c r="T92" s="12"/>
      <c r="U92" s="12"/>
      <c r="V92" s="25"/>
      <c r="W92" s="111"/>
      <c r="X92" s="24" t="s">
        <v>462</v>
      </c>
      <c r="Y92" s="110" t="s">
        <v>460</v>
      </c>
      <c r="Z92" s="33"/>
      <c r="AA92" s="33"/>
      <c r="AB92" s="7"/>
      <c r="AC92" s="33"/>
      <c r="AD92" s="33"/>
      <c r="AE92" s="33"/>
      <c r="AF92" s="7"/>
      <c r="AG92" s="33"/>
      <c r="AH92" s="33">
        <v>11000000</v>
      </c>
      <c r="AI92" s="33">
        <v>10500000</v>
      </c>
      <c r="AJ92" s="33">
        <v>0</v>
      </c>
      <c r="AK92" s="33"/>
      <c r="AL92" s="7"/>
      <c r="AM92" s="33"/>
      <c r="AN92" s="7"/>
      <c r="AO92" s="33"/>
      <c r="AP92" s="33"/>
      <c r="AQ92" s="7"/>
      <c r="AR92" s="7"/>
      <c r="AS92" s="7"/>
      <c r="AT92" s="33"/>
      <c r="AU92" s="33"/>
      <c r="AV92" s="7"/>
      <c r="AW92" s="33"/>
      <c r="AX92" s="33"/>
      <c r="AY92" s="7"/>
      <c r="AZ92" s="33"/>
      <c r="BA92" s="33"/>
      <c r="BB92" s="7"/>
      <c r="BC92" s="33"/>
      <c r="BD92" s="7"/>
      <c r="BE92" s="33"/>
      <c r="BF92" s="7"/>
      <c r="BG92" s="33"/>
      <c r="BH92" s="7"/>
      <c r="BI92" s="33"/>
      <c r="BJ92" s="7"/>
      <c r="BK92" s="33"/>
      <c r="BL92" s="7"/>
      <c r="BM92" s="33"/>
      <c r="BN92" s="7"/>
      <c r="BO92" s="33"/>
      <c r="BP92" s="14"/>
      <c r="BQ92" s="14"/>
      <c r="BR92" s="7"/>
      <c r="BS92" s="7"/>
      <c r="BT92" s="7"/>
      <c r="BU92" s="15"/>
      <c r="BV92" s="15"/>
      <c r="BW92" s="33"/>
      <c r="BX92" s="33"/>
      <c r="BY92" s="33"/>
      <c r="BZ92" s="36"/>
    </row>
    <row r="93" spans="1:78" s="1" customFormat="1" ht="17.100000000000001" customHeight="1" thickBot="1" x14ac:dyDescent="0.3">
      <c r="A93" s="12"/>
      <c r="B93" s="24"/>
      <c r="C93" s="24"/>
      <c r="D93" s="24"/>
      <c r="E93" s="3"/>
      <c r="F93" s="9"/>
      <c r="G93" s="10"/>
      <c r="H93" s="3"/>
      <c r="I93" s="3"/>
      <c r="J93" s="3"/>
      <c r="K93" s="3"/>
      <c r="L93" s="3"/>
      <c r="M93" s="11"/>
      <c r="N93" s="11"/>
      <c r="O93" s="11"/>
      <c r="P93" s="3"/>
      <c r="Q93" s="12"/>
      <c r="R93" s="12"/>
      <c r="S93" s="12"/>
      <c r="T93" s="12"/>
      <c r="U93" s="12"/>
      <c r="V93" s="25"/>
      <c r="W93" s="111"/>
      <c r="X93" s="24"/>
      <c r="Y93" s="110"/>
      <c r="Z93" s="33"/>
      <c r="AA93" s="33"/>
      <c r="AB93" s="7"/>
      <c r="AC93" s="33"/>
      <c r="AD93" s="33"/>
      <c r="AE93" s="33"/>
      <c r="AF93" s="7"/>
      <c r="AG93" s="33"/>
      <c r="AH93" s="315">
        <f>SUM(AH91:AH92)</f>
        <v>19000000</v>
      </c>
      <c r="AI93" s="315">
        <f>SUM(AI91:AI92)</f>
        <v>10500000</v>
      </c>
      <c r="AJ93" s="315">
        <f>SUM(AJ91:AJ92)</f>
        <v>0</v>
      </c>
      <c r="AK93" s="33"/>
      <c r="AL93" s="7"/>
      <c r="AM93" s="33"/>
      <c r="AN93" s="7"/>
      <c r="AO93" s="33"/>
      <c r="AP93" s="33"/>
      <c r="AQ93" s="7"/>
      <c r="AR93" s="7"/>
      <c r="AS93" s="7"/>
      <c r="AT93" s="33"/>
      <c r="AU93" s="33"/>
      <c r="AV93" s="7"/>
      <c r="AW93" s="33"/>
      <c r="AX93" s="33"/>
      <c r="AY93" s="7"/>
      <c r="AZ93" s="33"/>
      <c r="BA93" s="33"/>
      <c r="BB93" s="7"/>
      <c r="BC93" s="33"/>
      <c r="BD93" s="7"/>
      <c r="BE93" s="33"/>
      <c r="BF93" s="7"/>
      <c r="BG93" s="33"/>
      <c r="BH93" s="7"/>
      <c r="BI93" s="33"/>
      <c r="BJ93" s="7"/>
      <c r="BK93" s="33"/>
      <c r="BL93" s="7"/>
      <c r="BM93" s="33"/>
      <c r="BN93" s="7"/>
      <c r="BO93" s="33"/>
      <c r="BP93" s="14"/>
      <c r="BQ93" s="14"/>
      <c r="BR93" s="7"/>
      <c r="BS93" s="7"/>
      <c r="BT93" s="7"/>
      <c r="BU93" s="15"/>
      <c r="BV93" s="15"/>
      <c r="BW93" s="33"/>
      <c r="BX93" s="33"/>
      <c r="BY93" s="33"/>
      <c r="BZ93" s="36"/>
    </row>
    <row r="94" spans="1:78" s="1" customFormat="1" ht="30" x14ac:dyDescent="0.2">
      <c r="A94" s="12" t="s">
        <v>7</v>
      </c>
      <c r="B94" s="24" t="s">
        <v>62</v>
      </c>
      <c r="C94" s="24" t="s">
        <v>227</v>
      </c>
      <c r="D94" s="24"/>
      <c r="E94" s="3">
        <v>255005</v>
      </c>
      <c r="F94" s="9" t="s">
        <v>13</v>
      </c>
      <c r="G94" s="10" t="s">
        <v>13</v>
      </c>
      <c r="H94" s="3">
        <v>4</v>
      </c>
      <c r="I94" s="3">
        <v>35</v>
      </c>
      <c r="J94" s="3">
        <v>1405</v>
      </c>
      <c r="K94" s="3" t="s">
        <v>186</v>
      </c>
      <c r="L94" s="3" t="s">
        <v>189</v>
      </c>
      <c r="M94" s="11" t="s">
        <v>187</v>
      </c>
      <c r="N94" s="11" t="s">
        <v>187</v>
      </c>
      <c r="O94" s="11" t="s">
        <v>193</v>
      </c>
      <c r="P94" s="3" t="s">
        <v>188</v>
      </c>
      <c r="Q94" s="12" t="s">
        <v>110</v>
      </c>
      <c r="R94" s="12" t="s">
        <v>222</v>
      </c>
      <c r="S94" s="12"/>
      <c r="T94" s="12" t="s">
        <v>36</v>
      </c>
      <c r="U94" s="12" t="s">
        <v>13</v>
      </c>
      <c r="V94" s="25" t="s">
        <v>69</v>
      </c>
      <c r="W94" s="34">
        <v>9</v>
      </c>
      <c r="X94" s="24" t="s">
        <v>160</v>
      </c>
      <c r="Y94" s="110" t="s">
        <v>38</v>
      </c>
      <c r="Z94" s="36">
        <v>500000</v>
      </c>
      <c r="AA94" s="36"/>
      <c r="AB94" s="7">
        <f>Z94+AA94</f>
        <v>500000</v>
      </c>
      <c r="AC94" s="33"/>
      <c r="AD94" s="33">
        <f>AB94+AC94</f>
        <v>500000</v>
      </c>
      <c r="AE94" s="33">
        <v>-500000</v>
      </c>
      <c r="AF94" s="7">
        <f>+AD94+AE94</f>
        <v>0</v>
      </c>
      <c r="AG94" s="33"/>
      <c r="AH94" s="36">
        <v>2000000</v>
      </c>
      <c r="AI94" s="36">
        <v>2000000</v>
      </c>
      <c r="AJ94" s="33">
        <v>69000000</v>
      </c>
      <c r="AK94" s="36"/>
      <c r="AL94" s="7">
        <f>AK94</f>
        <v>0</v>
      </c>
      <c r="AM94" s="36"/>
      <c r="AN94" s="7">
        <f>AM94</f>
        <v>0</v>
      </c>
      <c r="AO94" s="36"/>
      <c r="AP94" s="36"/>
      <c r="AQ94" s="7">
        <f>AO94+AP94</f>
        <v>0</v>
      </c>
      <c r="AR94" s="7">
        <f>AK94+AM94+AO94</f>
        <v>0</v>
      </c>
      <c r="AS94" s="7">
        <f>AL94+AN94+AQ94</f>
        <v>0</v>
      </c>
      <c r="AT94" s="36"/>
      <c r="AU94" s="36"/>
      <c r="AV94" s="7">
        <f>AT94+AU94</f>
        <v>0</v>
      </c>
      <c r="AW94" s="36"/>
      <c r="AX94" s="36"/>
      <c r="AY94" s="7">
        <f>AW94+AX94</f>
        <v>0</v>
      </c>
      <c r="AZ94" s="36"/>
      <c r="BA94" s="36"/>
      <c r="BB94" s="7">
        <f>AZ94+BA94</f>
        <v>0</v>
      </c>
      <c r="BC94" s="36"/>
      <c r="BD94" s="7">
        <f>BC94</f>
        <v>0</v>
      </c>
      <c r="BE94" s="36"/>
      <c r="BF94" s="7">
        <f>BE94</f>
        <v>0</v>
      </c>
      <c r="BG94" s="36"/>
      <c r="BH94" s="7">
        <f>BG94</f>
        <v>0</v>
      </c>
      <c r="BI94" s="36"/>
      <c r="BJ94" s="7">
        <f>BI94</f>
        <v>0</v>
      </c>
      <c r="BK94" s="36"/>
      <c r="BL94" s="7">
        <f>BK94</f>
        <v>0</v>
      </c>
      <c r="BM94" s="36"/>
      <c r="BN94" s="7">
        <f>BM94</f>
        <v>0</v>
      </c>
      <c r="BO94" s="36"/>
      <c r="BP94" s="14">
        <f>AK94+AM94+AO94+AT94+AW94+AZ94+BC94+BE94+BG94+BI94+BK94+BM94</f>
        <v>0</v>
      </c>
      <c r="BQ94" s="14">
        <f>AL94+AN94+AQ94+AV94+AY94+BB94</f>
        <v>0</v>
      </c>
      <c r="BR94" s="7"/>
      <c r="BS94" s="7">
        <f>AD94-BP94</f>
        <v>500000</v>
      </c>
      <c r="BT94" s="7">
        <f>AD94-BQ94</f>
        <v>500000</v>
      </c>
      <c r="BU94" s="15">
        <f>BP94/AD94</f>
        <v>0</v>
      </c>
      <c r="BV94" s="15">
        <f>BQ94/AD94</f>
        <v>0</v>
      </c>
      <c r="BW94" s="291"/>
      <c r="BX94" s="291"/>
      <c r="BY94" s="33"/>
      <c r="BZ94" s="36"/>
    </row>
    <row r="95" spans="1:78" s="1" customFormat="1" ht="15" customHeight="1" x14ac:dyDescent="0.2">
      <c r="A95" s="12" t="s">
        <v>7</v>
      </c>
      <c r="B95" s="24" t="s">
        <v>62</v>
      </c>
      <c r="C95" s="24" t="s">
        <v>227</v>
      </c>
      <c r="D95" s="24"/>
      <c r="E95" s="3">
        <v>255005</v>
      </c>
      <c r="F95" s="9"/>
      <c r="G95" s="10"/>
      <c r="H95" s="3"/>
      <c r="I95" s="3"/>
      <c r="J95" s="3"/>
      <c r="K95" s="3"/>
      <c r="L95" s="3"/>
      <c r="M95" s="11"/>
      <c r="N95" s="11"/>
      <c r="O95" s="11"/>
      <c r="P95" s="3"/>
      <c r="Q95" s="12"/>
      <c r="R95" s="12"/>
      <c r="S95" s="12"/>
      <c r="T95" s="12"/>
      <c r="U95" s="12"/>
      <c r="V95" s="25"/>
      <c r="W95" s="111"/>
      <c r="X95" s="24" t="s">
        <v>471</v>
      </c>
      <c r="Y95" s="110" t="s">
        <v>460</v>
      </c>
      <c r="Z95" s="33"/>
      <c r="AA95" s="33"/>
      <c r="AB95" s="7"/>
      <c r="AC95" s="33"/>
      <c r="AD95" s="33"/>
      <c r="AE95" s="33"/>
      <c r="AF95" s="7"/>
      <c r="AG95" s="33"/>
      <c r="AH95" s="33">
        <v>5000000</v>
      </c>
      <c r="AI95" s="33">
        <v>30000000</v>
      </c>
      <c r="AJ95" s="33">
        <v>57000000</v>
      </c>
      <c r="AK95" s="33"/>
      <c r="AL95" s="7"/>
      <c r="AM95" s="33"/>
      <c r="AN95" s="7"/>
      <c r="AO95" s="33"/>
      <c r="AP95" s="33"/>
      <c r="AQ95" s="7"/>
      <c r="AR95" s="7"/>
      <c r="AS95" s="7"/>
      <c r="AT95" s="33"/>
      <c r="AU95" s="33"/>
      <c r="AV95" s="7"/>
      <c r="AW95" s="33"/>
      <c r="AX95" s="33"/>
      <c r="AY95" s="7"/>
      <c r="AZ95" s="33"/>
      <c r="BA95" s="33"/>
      <c r="BB95" s="7"/>
      <c r="BC95" s="33"/>
      <c r="BD95" s="7"/>
      <c r="BE95" s="33"/>
      <c r="BF95" s="7"/>
      <c r="BG95" s="33"/>
      <c r="BH95" s="7"/>
      <c r="BI95" s="33"/>
      <c r="BJ95" s="7"/>
      <c r="BK95" s="33"/>
      <c r="BL95" s="7"/>
      <c r="BM95" s="33"/>
      <c r="BN95" s="7"/>
      <c r="BO95" s="33"/>
      <c r="BP95" s="14"/>
      <c r="BQ95" s="14"/>
      <c r="BR95" s="7"/>
      <c r="BS95" s="7"/>
      <c r="BT95" s="7"/>
      <c r="BU95" s="15"/>
      <c r="BV95" s="15"/>
      <c r="BW95" s="33"/>
      <c r="BX95" s="33"/>
      <c r="BY95" s="33"/>
      <c r="BZ95" s="36"/>
    </row>
    <row r="96" spans="1:78" s="1" customFormat="1" ht="17.100000000000001" customHeight="1" thickBot="1" x14ac:dyDescent="0.3">
      <c r="A96" s="12"/>
      <c r="B96" s="24"/>
      <c r="C96" s="24"/>
      <c r="D96" s="24"/>
      <c r="E96" s="3"/>
      <c r="F96" s="9"/>
      <c r="G96" s="10"/>
      <c r="H96" s="3"/>
      <c r="I96" s="3"/>
      <c r="J96" s="3"/>
      <c r="K96" s="3"/>
      <c r="L96" s="3"/>
      <c r="M96" s="11"/>
      <c r="N96" s="11"/>
      <c r="O96" s="11"/>
      <c r="P96" s="3"/>
      <c r="Q96" s="12"/>
      <c r="R96" s="12"/>
      <c r="S96" s="12"/>
      <c r="T96" s="12"/>
      <c r="U96" s="12"/>
      <c r="V96" s="25"/>
      <c r="W96" s="111"/>
      <c r="X96" s="24"/>
      <c r="Y96" s="110"/>
      <c r="Z96" s="33"/>
      <c r="AA96" s="33"/>
      <c r="AB96" s="7"/>
      <c r="AC96" s="33"/>
      <c r="AD96" s="33"/>
      <c r="AE96" s="33"/>
      <c r="AF96" s="7"/>
      <c r="AG96" s="33"/>
      <c r="AH96" s="315">
        <f>SUM(AH94:AH95)</f>
        <v>7000000</v>
      </c>
      <c r="AI96" s="315">
        <f>SUM(AI94:AI95)</f>
        <v>32000000</v>
      </c>
      <c r="AJ96" s="315">
        <f>SUM(AJ94:AJ95)</f>
        <v>126000000</v>
      </c>
      <c r="AK96" s="33"/>
      <c r="AL96" s="7"/>
      <c r="AM96" s="33"/>
      <c r="AN96" s="7"/>
      <c r="AO96" s="33"/>
      <c r="AP96" s="33"/>
      <c r="AQ96" s="7"/>
      <c r="AR96" s="7"/>
      <c r="AS96" s="7"/>
      <c r="AT96" s="33"/>
      <c r="AU96" s="33"/>
      <c r="AV96" s="7"/>
      <c r="AW96" s="33"/>
      <c r="AX96" s="33"/>
      <c r="AY96" s="7"/>
      <c r="AZ96" s="33"/>
      <c r="BA96" s="33"/>
      <c r="BB96" s="7"/>
      <c r="BC96" s="33"/>
      <c r="BD96" s="7"/>
      <c r="BE96" s="33"/>
      <c r="BF96" s="7"/>
      <c r="BG96" s="33"/>
      <c r="BH96" s="7"/>
      <c r="BI96" s="33"/>
      <c r="BJ96" s="7"/>
      <c r="BK96" s="33"/>
      <c r="BL96" s="7"/>
      <c r="BM96" s="33"/>
      <c r="BN96" s="7"/>
      <c r="BO96" s="33"/>
      <c r="BP96" s="14"/>
      <c r="BQ96" s="14"/>
      <c r="BR96" s="7"/>
      <c r="BS96" s="7"/>
      <c r="BT96" s="7"/>
      <c r="BU96" s="15"/>
      <c r="BV96" s="15"/>
      <c r="BW96" s="33"/>
      <c r="BX96" s="33"/>
      <c r="BY96" s="33"/>
      <c r="BZ96" s="36"/>
    </row>
    <row r="97" spans="1:78" s="1" customFormat="1" ht="15" customHeight="1" x14ac:dyDescent="0.2">
      <c r="A97" s="12"/>
      <c r="B97" s="24"/>
      <c r="C97" s="24"/>
      <c r="D97" s="24"/>
      <c r="E97" s="3"/>
      <c r="F97" s="9"/>
      <c r="G97" s="10"/>
      <c r="H97" s="3"/>
      <c r="I97" s="3"/>
      <c r="J97" s="3"/>
      <c r="K97" s="3"/>
      <c r="L97" s="3"/>
      <c r="M97" s="11"/>
      <c r="N97" s="11"/>
      <c r="O97" s="11"/>
      <c r="P97" s="3"/>
      <c r="Q97" s="12"/>
      <c r="R97" s="12"/>
      <c r="S97" s="12"/>
      <c r="T97" s="12"/>
      <c r="U97" s="12"/>
      <c r="V97" s="25"/>
      <c r="W97" s="111"/>
      <c r="X97" s="24"/>
      <c r="Y97" s="110"/>
      <c r="Z97" s="33"/>
      <c r="AA97" s="33"/>
      <c r="AB97" s="7"/>
      <c r="AC97" s="33"/>
      <c r="AD97" s="33"/>
      <c r="AE97" s="33"/>
      <c r="AF97" s="7"/>
      <c r="AG97" s="33"/>
      <c r="AH97" s="33"/>
      <c r="AI97" s="33"/>
      <c r="AJ97" s="33"/>
      <c r="AK97" s="33"/>
      <c r="AL97" s="7"/>
      <c r="AM97" s="33"/>
      <c r="AN97" s="7"/>
      <c r="AO97" s="33"/>
      <c r="AP97" s="33"/>
      <c r="AQ97" s="7"/>
      <c r="AR97" s="7"/>
      <c r="AS97" s="7"/>
      <c r="AT97" s="33"/>
      <c r="AU97" s="33"/>
      <c r="AV97" s="7"/>
      <c r="AW97" s="33"/>
      <c r="AX97" s="33"/>
      <c r="AY97" s="7"/>
      <c r="AZ97" s="33"/>
      <c r="BA97" s="33"/>
      <c r="BB97" s="7"/>
      <c r="BC97" s="33"/>
      <c r="BD97" s="7"/>
      <c r="BE97" s="33"/>
      <c r="BF97" s="7"/>
      <c r="BG97" s="33"/>
      <c r="BH97" s="7"/>
      <c r="BI97" s="33"/>
      <c r="BJ97" s="7"/>
      <c r="BK97" s="33"/>
      <c r="BL97" s="7"/>
      <c r="BM97" s="33"/>
      <c r="BN97" s="7"/>
      <c r="BO97" s="33"/>
      <c r="BP97" s="14"/>
      <c r="BQ97" s="14"/>
      <c r="BR97" s="7"/>
      <c r="BS97" s="7"/>
      <c r="BT97" s="7"/>
      <c r="BU97" s="15"/>
      <c r="BV97" s="15"/>
      <c r="BW97" s="33"/>
      <c r="BX97" s="33"/>
      <c r="BY97" s="33"/>
      <c r="BZ97" s="36"/>
    </row>
    <row r="98" spans="1:78" s="1" customFormat="1" ht="15" customHeight="1" x14ac:dyDescent="0.2">
      <c r="A98" s="12" t="s">
        <v>7</v>
      </c>
      <c r="B98" s="24" t="s">
        <v>62</v>
      </c>
      <c r="C98" s="24" t="s">
        <v>227</v>
      </c>
      <c r="D98" s="24" t="s">
        <v>13</v>
      </c>
      <c r="E98" s="3">
        <v>255005</v>
      </c>
      <c r="F98" s="9" t="s">
        <v>13</v>
      </c>
      <c r="G98" s="10" t="s">
        <v>13</v>
      </c>
      <c r="H98" s="3">
        <v>4</v>
      </c>
      <c r="I98" s="3">
        <v>36</v>
      </c>
      <c r="J98" s="3">
        <v>1417</v>
      </c>
      <c r="K98" s="3" t="s">
        <v>186</v>
      </c>
      <c r="L98" s="3" t="s">
        <v>189</v>
      </c>
      <c r="M98" s="11" t="s">
        <v>187</v>
      </c>
      <c r="N98" s="11" t="s">
        <v>187</v>
      </c>
      <c r="O98" s="11" t="s">
        <v>193</v>
      </c>
      <c r="P98" s="3" t="s">
        <v>188</v>
      </c>
      <c r="Q98" s="12" t="s">
        <v>110</v>
      </c>
      <c r="R98" s="12" t="s">
        <v>222</v>
      </c>
      <c r="S98" s="12"/>
      <c r="T98" s="12" t="s">
        <v>36</v>
      </c>
      <c r="U98" s="12" t="s">
        <v>13</v>
      </c>
      <c r="V98" s="25" t="s">
        <v>69</v>
      </c>
      <c r="W98" s="34">
        <v>43</v>
      </c>
      <c r="X98" s="24" t="s">
        <v>131</v>
      </c>
      <c r="Y98" s="110" t="s">
        <v>37</v>
      </c>
      <c r="Z98" s="33">
        <v>200000</v>
      </c>
      <c r="AA98" s="33"/>
      <c r="AB98" s="7">
        <f t="shared" ref="AB98:AB104" si="15">Z98+AA98</f>
        <v>200000</v>
      </c>
      <c r="AC98" s="33">
        <v>0</v>
      </c>
      <c r="AD98" s="33">
        <f>AB98+AC98</f>
        <v>200000</v>
      </c>
      <c r="AE98" s="33"/>
      <c r="AF98" s="7">
        <f>+AD98+AE98</f>
        <v>200000</v>
      </c>
      <c r="AG98" s="33"/>
      <c r="AH98" s="33">
        <v>500000</v>
      </c>
      <c r="AI98" s="33">
        <v>200000</v>
      </c>
      <c r="AJ98" s="33">
        <v>200000</v>
      </c>
      <c r="AK98" s="33"/>
      <c r="AL98" s="7">
        <f t="shared" ref="AL98:AL104" si="16">AK98</f>
        <v>0</v>
      </c>
      <c r="AM98" s="33"/>
      <c r="AN98" s="7">
        <f t="shared" ref="AN98:AN104" si="17">AM98</f>
        <v>0</v>
      </c>
      <c r="AO98" s="33"/>
      <c r="AP98" s="33">
        <v>0</v>
      </c>
      <c r="AQ98" s="7">
        <f t="shared" ref="AQ98:AQ104" si="18">AO98+AP98</f>
        <v>0</v>
      </c>
      <c r="AR98" s="7">
        <f t="shared" ref="AR98:AR104" si="19">AK98+AM98+AO98</f>
        <v>0</v>
      </c>
      <c r="AS98" s="7">
        <f t="shared" ref="AS98:AS104" si="20">AL98+AN98+AQ98</f>
        <v>0</v>
      </c>
      <c r="AT98" s="33"/>
      <c r="AU98" s="33"/>
      <c r="AV98" s="7">
        <f t="shared" ref="AV98:AV104" si="21">AT98+AU98</f>
        <v>0</v>
      </c>
      <c r="AW98" s="33"/>
      <c r="AX98" s="33"/>
      <c r="AY98" s="7">
        <f t="shared" ref="AY98:AY104" si="22">AW98+AX98</f>
        <v>0</v>
      </c>
      <c r="AZ98" s="33"/>
      <c r="BA98" s="33"/>
      <c r="BB98" s="7">
        <f>AZ98+BA98</f>
        <v>0</v>
      </c>
      <c r="BC98" s="33"/>
      <c r="BD98" s="7">
        <f t="shared" ref="BD98:BD104" si="23">BC98</f>
        <v>0</v>
      </c>
      <c r="BE98" s="33"/>
      <c r="BF98" s="7">
        <f t="shared" ref="BF98:BF104" si="24">BE98</f>
        <v>0</v>
      </c>
      <c r="BG98" s="33"/>
      <c r="BH98" s="7">
        <f t="shared" ref="BH98:BH104" si="25">BG98</f>
        <v>0</v>
      </c>
      <c r="BI98" s="33"/>
      <c r="BJ98" s="7">
        <f t="shared" ref="BJ98:BJ104" si="26">BI98</f>
        <v>0</v>
      </c>
      <c r="BK98" s="33"/>
      <c r="BL98" s="7">
        <f t="shared" ref="BL98:BL104" si="27">BK98</f>
        <v>0</v>
      </c>
      <c r="BM98" s="33"/>
      <c r="BN98" s="7">
        <f t="shared" ref="BN98:BN104" si="28">BM98</f>
        <v>0</v>
      </c>
      <c r="BO98" s="33"/>
      <c r="BP98" s="14">
        <f t="shared" ref="BP98:BP104" si="29">AK98+AM98+AO98+AT98+AW98+AZ98+BC98+BE98+BG98+BI98+BK98+BM98</f>
        <v>0</v>
      </c>
      <c r="BQ98" s="14">
        <f>AL98+AN98+AQ98+AV98+AY98+BB98</f>
        <v>0</v>
      </c>
      <c r="BR98" s="7"/>
      <c r="BS98" s="7">
        <f>AD98-BP98</f>
        <v>200000</v>
      </c>
      <c r="BT98" s="7">
        <f>AD98-BQ98</f>
        <v>200000</v>
      </c>
      <c r="BU98" s="15">
        <f>BP98/AD98</f>
        <v>0</v>
      </c>
      <c r="BV98" s="15">
        <f>BQ98/AD98</f>
        <v>0</v>
      </c>
      <c r="BW98" s="33"/>
      <c r="BX98" s="33"/>
      <c r="BY98" s="33"/>
      <c r="BZ98" s="36"/>
    </row>
    <row r="99" spans="1:78" s="1" customFormat="1" ht="15" customHeight="1" x14ac:dyDescent="0.2">
      <c r="A99" s="12" t="s">
        <v>7</v>
      </c>
      <c r="B99" s="24" t="s">
        <v>62</v>
      </c>
      <c r="C99" s="24" t="s">
        <v>227</v>
      </c>
      <c r="D99" s="24" t="s">
        <v>13</v>
      </c>
      <c r="E99" s="3">
        <v>255005</v>
      </c>
      <c r="F99" s="9"/>
      <c r="G99" s="10"/>
      <c r="H99" s="3"/>
      <c r="I99" s="3"/>
      <c r="J99" s="3"/>
      <c r="K99" s="3"/>
      <c r="L99" s="3"/>
      <c r="M99" s="11"/>
      <c r="N99" s="11"/>
      <c r="O99" s="11"/>
      <c r="P99" s="3"/>
      <c r="Q99" s="12"/>
      <c r="R99" s="12"/>
      <c r="S99" s="12"/>
      <c r="T99" s="12"/>
      <c r="U99" s="12"/>
      <c r="V99" s="25"/>
      <c r="W99" s="34"/>
      <c r="X99" s="24" t="s">
        <v>459</v>
      </c>
      <c r="Y99" s="110" t="s">
        <v>460</v>
      </c>
      <c r="Z99" s="33"/>
      <c r="AA99" s="33"/>
      <c r="AB99" s="7"/>
      <c r="AC99" s="33"/>
      <c r="AD99" s="33"/>
      <c r="AE99" s="33"/>
      <c r="AF99" s="7"/>
      <c r="AG99" s="33"/>
      <c r="AH99" s="33">
        <v>1000000</v>
      </c>
      <c r="AI99" s="33">
        <v>0</v>
      </c>
      <c r="AJ99" s="33">
        <v>0</v>
      </c>
      <c r="AK99" s="33"/>
      <c r="AL99" s="7"/>
      <c r="AM99" s="33"/>
      <c r="AN99" s="7"/>
      <c r="AO99" s="33"/>
      <c r="AP99" s="33"/>
      <c r="AQ99" s="7"/>
      <c r="AR99" s="7"/>
      <c r="AS99" s="7"/>
      <c r="AT99" s="33"/>
      <c r="AU99" s="33"/>
      <c r="AV99" s="7"/>
      <c r="AW99" s="33"/>
      <c r="AX99" s="33"/>
      <c r="AY99" s="7"/>
      <c r="AZ99" s="33"/>
      <c r="BA99" s="33"/>
      <c r="BB99" s="7"/>
      <c r="BC99" s="33"/>
      <c r="BD99" s="7"/>
      <c r="BE99" s="33"/>
      <c r="BF99" s="7"/>
      <c r="BG99" s="33"/>
      <c r="BH99" s="7"/>
      <c r="BI99" s="33"/>
      <c r="BJ99" s="7"/>
      <c r="BK99" s="33"/>
      <c r="BL99" s="7"/>
      <c r="BM99" s="33"/>
      <c r="BN99" s="7"/>
      <c r="BO99" s="33"/>
      <c r="BP99" s="14"/>
      <c r="BQ99" s="14"/>
      <c r="BR99" s="7"/>
      <c r="BS99" s="7"/>
      <c r="BT99" s="7"/>
      <c r="BU99" s="15"/>
      <c r="BV99" s="15"/>
      <c r="BW99" s="33"/>
      <c r="BX99" s="33"/>
      <c r="BY99" s="33"/>
      <c r="BZ99" s="36"/>
    </row>
    <row r="100" spans="1:78" s="1" customFormat="1" ht="17.100000000000001" customHeight="1" thickBot="1" x14ac:dyDescent="0.3">
      <c r="A100" s="12"/>
      <c r="B100" s="24"/>
      <c r="C100" s="24"/>
      <c r="D100" s="24"/>
      <c r="E100" s="3"/>
      <c r="F100" s="9"/>
      <c r="G100" s="10"/>
      <c r="H100" s="3"/>
      <c r="I100" s="3"/>
      <c r="J100" s="3"/>
      <c r="K100" s="3"/>
      <c r="L100" s="3"/>
      <c r="M100" s="11"/>
      <c r="N100" s="11"/>
      <c r="O100" s="11"/>
      <c r="P100" s="3"/>
      <c r="Q100" s="12"/>
      <c r="R100" s="12"/>
      <c r="S100" s="12"/>
      <c r="T100" s="12"/>
      <c r="U100" s="12"/>
      <c r="V100" s="25"/>
      <c r="W100" s="34"/>
      <c r="X100" s="24"/>
      <c r="Y100" s="110"/>
      <c r="Z100" s="33"/>
      <c r="AA100" s="33"/>
      <c r="AB100" s="7"/>
      <c r="AC100" s="33"/>
      <c r="AD100" s="33"/>
      <c r="AE100" s="33"/>
      <c r="AF100" s="7"/>
      <c r="AG100" s="33"/>
      <c r="AH100" s="315">
        <f>SUM(AH98:AH99)</f>
        <v>1500000</v>
      </c>
      <c r="AI100" s="315">
        <f>SUM(AI98:AI99)</f>
        <v>200000</v>
      </c>
      <c r="AJ100" s="315">
        <f>SUM(AJ98:AJ99)</f>
        <v>200000</v>
      </c>
      <c r="AK100" s="33"/>
      <c r="AL100" s="7"/>
      <c r="AM100" s="33"/>
      <c r="AN100" s="7"/>
      <c r="AO100" s="33"/>
      <c r="AP100" s="33"/>
      <c r="AQ100" s="7"/>
      <c r="AR100" s="7"/>
      <c r="AS100" s="7"/>
      <c r="AT100" s="33"/>
      <c r="AU100" s="33"/>
      <c r="AV100" s="7"/>
      <c r="AW100" s="33"/>
      <c r="AX100" s="33"/>
      <c r="AY100" s="7"/>
      <c r="AZ100" s="33"/>
      <c r="BA100" s="33"/>
      <c r="BB100" s="7"/>
      <c r="BC100" s="33"/>
      <c r="BD100" s="7"/>
      <c r="BE100" s="33"/>
      <c r="BF100" s="7"/>
      <c r="BG100" s="33"/>
      <c r="BH100" s="7"/>
      <c r="BI100" s="33"/>
      <c r="BJ100" s="7"/>
      <c r="BK100" s="33"/>
      <c r="BL100" s="7"/>
      <c r="BM100" s="33"/>
      <c r="BN100" s="7"/>
      <c r="BO100" s="33"/>
      <c r="BP100" s="14"/>
      <c r="BQ100" s="14"/>
      <c r="BR100" s="7"/>
      <c r="BS100" s="7"/>
      <c r="BT100" s="7"/>
      <c r="BU100" s="15"/>
      <c r="BV100" s="15"/>
      <c r="BW100" s="33"/>
      <c r="BX100" s="33"/>
      <c r="BY100" s="33"/>
      <c r="BZ100" s="36"/>
    </row>
    <row r="101" spans="1:78" s="1" customFormat="1" ht="15" customHeight="1" x14ac:dyDescent="0.2">
      <c r="A101" s="12"/>
      <c r="B101" s="24"/>
      <c r="C101" s="24"/>
      <c r="D101" s="24"/>
      <c r="E101" s="3"/>
      <c r="F101" s="9"/>
      <c r="G101" s="10"/>
      <c r="H101" s="3"/>
      <c r="I101" s="3"/>
      <c r="J101" s="3"/>
      <c r="K101" s="3"/>
      <c r="L101" s="3"/>
      <c r="M101" s="11"/>
      <c r="N101" s="11"/>
      <c r="O101" s="11"/>
      <c r="P101" s="3"/>
      <c r="Q101" s="12"/>
      <c r="R101" s="12"/>
      <c r="S101" s="12"/>
      <c r="T101" s="12"/>
      <c r="U101" s="12"/>
      <c r="V101" s="25"/>
      <c r="W101" s="34"/>
      <c r="X101" s="24"/>
      <c r="Y101" s="110"/>
      <c r="Z101" s="33"/>
      <c r="AA101" s="33"/>
      <c r="AB101" s="7"/>
      <c r="AC101" s="33"/>
      <c r="AD101" s="33"/>
      <c r="AE101" s="33"/>
      <c r="AF101" s="7"/>
      <c r="AG101" s="33"/>
      <c r="AH101" s="33"/>
      <c r="AI101" s="33"/>
      <c r="AJ101" s="33"/>
      <c r="AK101" s="33"/>
      <c r="AL101" s="7"/>
      <c r="AM101" s="33"/>
      <c r="AN101" s="7"/>
      <c r="AO101" s="33"/>
      <c r="AP101" s="33"/>
      <c r="AQ101" s="7"/>
      <c r="AR101" s="7"/>
      <c r="AS101" s="7"/>
      <c r="AT101" s="33"/>
      <c r="AU101" s="33"/>
      <c r="AV101" s="7"/>
      <c r="AW101" s="33"/>
      <c r="AX101" s="33"/>
      <c r="AY101" s="7"/>
      <c r="AZ101" s="33"/>
      <c r="BA101" s="33"/>
      <c r="BB101" s="7"/>
      <c r="BC101" s="33"/>
      <c r="BD101" s="7"/>
      <c r="BE101" s="33"/>
      <c r="BF101" s="7"/>
      <c r="BG101" s="33"/>
      <c r="BH101" s="7"/>
      <c r="BI101" s="33"/>
      <c r="BJ101" s="7"/>
      <c r="BK101" s="33"/>
      <c r="BL101" s="7"/>
      <c r="BM101" s="33"/>
      <c r="BN101" s="7"/>
      <c r="BO101" s="33"/>
      <c r="BP101" s="14"/>
      <c r="BQ101" s="14"/>
      <c r="BR101" s="7"/>
      <c r="BS101" s="7"/>
      <c r="BT101" s="7"/>
      <c r="BU101" s="15"/>
      <c r="BV101" s="15"/>
      <c r="BW101" s="33"/>
      <c r="BX101" s="33"/>
      <c r="BY101" s="33"/>
      <c r="BZ101" s="36"/>
    </row>
    <row r="102" spans="1:78" s="1" customFormat="1" ht="15" customHeight="1" x14ac:dyDescent="0.25">
      <c r="A102" s="12" t="s">
        <v>7</v>
      </c>
      <c r="B102" s="24" t="s">
        <v>62</v>
      </c>
      <c r="C102" s="24" t="s">
        <v>227</v>
      </c>
      <c r="D102" s="24" t="s">
        <v>13</v>
      </c>
      <c r="E102" s="3">
        <v>255005</v>
      </c>
      <c r="F102" s="9" t="s">
        <v>13</v>
      </c>
      <c r="G102" s="10" t="s">
        <v>13</v>
      </c>
      <c r="H102" s="3">
        <v>4</v>
      </c>
      <c r="I102" s="3">
        <v>36</v>
      </c>
      <c r="J102" s="3">
        <v>1418</v>
      </c>
      <c r="K102" s="3" t="s">
        <v>186</v>
      </c>
      <c r="L102" s="3" t="s">
        <v>189</v>
      </c>
      <c r="M102" s="11" t="s">
        <v>187</v>
      </c>
      <c r="N102" s="11" t="s">
        <v>187</v>
      </c>
      <c r="O102" s="11" t="s">
        <v>193</v>
      </c>
      <c r="P102" s="3" t="s">
        <v>188</v>
      </c>
      <c r="Q102" s="12" t="s">
        <v>110</v>
      </c>
      <c r="R102" s="12" t="s">
        <v>222</v>
      </c>
      <c r="S102" s="12"/>
      <c r="T102" s="12" t="s">
        <v>36</v>
      </c>
      <c r="U102" s="12" t="s">
        <v>13</v>
      </c>
      <c r="V102" s="25" t="s">
        <v>69</v>
      </c>
      <c r="W102" s="34">
        <v>46</v>
      </c>
      <c r="X102" s="24" t="s">
        <v>132</v>
      </c>
      <c r="Y102" s="110" t="s">
        <v>37</v>
      </c>
      <c r="Z102" s="33">
        <v>2000000</v>
      </c>
      <c r="AA102" s="33"/>
      <c r="AB102" s="7">
        <f t="shared" si="15"/>
        <v>2000000</v>
      </c>
      <c r="AC102" s="33">
        <v>0</v>
      </c>
      <c r="AD102" s="33">
        <f>AB102+AC102</f>
        <v>2000000</v>
      </c>
      <c r="AE102" s="33"/>
      <c r="AF102" s="7">
        <f>+AD102+AE102</f>
        <v>2000000</v>
      </c>
      <c r="AG102" s="33"/>
      <c r="AH102" s="313">
        <v>5000000</v>
      </c>
      <c r="AI102" s="313">
        <f>500000+70000000-70000000</f>
        <v>500000</v>
      </c>
      <c r="AJ102" s="313">
        <v>500000</v>
      </c>
      <c r="AK102" s="33"/>
      <c r="AL102" s="7">
        <f t="shared" si="16"/>
        <v>0</v>
      </c>
      <c r="AM102" s="33"/>
      <c r="AN102" s="7">
        <f t="shared" si="17"/>
        <v>0</v>
      </c>
      <c r="AO102" s="33"/>
      <c r="AP102" s="33">
        <v>0</v>
      </c>
      <c r="AQ102" s="7">
        <f t="shared" si="18"/>
        <v>0</v>
      </c>
      <c r="AR102" s="7">
        <f t="shared" si="19"/>
        <v>0</v>
      </c>
      <c r="AS102" s="7">
        <f t="shared" si="20"/>
        <v>0</v>
      </c>
      <c r="AT102" s="33"/>
      <c r="AU102" s="33"/>
      <c r="AV102" s="7">
        <f t="shared" si="21"/>
        <v>0</v>
      </c>
      <c r="AW102" s="33"/>
      <c r="AX102" s="33"/>
      <c r="AY102" s="7">
        <f t="shared" si="22"/>
        <v>0</v>
      </c>
      <c r="AZ102" s="33"/>
      <c r="BA102" s="33"/>
      <c r="BB102" s="7">
        <f>AZ102+BA102</f>
        <v>0</v>
      </c>
      <c r="BC102" s="33"/>
      <c r="BD102" s="7">
        <f t="shared" si="23"/>
        <v>0</v>
      </c>
      <c r="BE102" s="33"/>
      <c r="BF102" s="7">
        <f t="shared" si="24"/>
        <v>0</v>
      </c>
      <c r="BG102" s="33"/>
      <c r="BH102" s="7">
        <f t="shared" si="25"/>
        <v>0</v>
      </c>
      <c r="BI102" s="33"/>
      <c r="BJ102" s="7">
        <f t="shared" si="26"/>
        <v>0</v>
      </c>
      <c r="BK102" s="33"/>
      <c r="BL102" s="7">
        <f t="shared" si="27"/>
        <v>0</v>
      </c>
      <c r="BM102" s="33"/>
      <c r="BN102" s="7">
        <f t="shared" si="28"/>
        <v>0</v>
      </c>
      <c r="BO102" s="33"/>
      <c r="BP102" s="14">
        <f t="shared" si="29"/>
        <v>0</v>
      </c>
      <c r="BQ102" s="14">
        <f>AL102+AN102+AQ102+AV102+AY102+BB102</f>
        <v>0</v>
      </c>
      <c r="BR102" s="7"/>
      <c r="BS102" s="7">
        <f>AD102-BP102</f>
        <v>2000000</v>
      </c>
      <c r="BT102" s="7">
        <f>AD102-BQ102</f>
        <v>2000000</v>
      </c>
      <c r="BU102" s="15">
        <f>BP102/AD102</f>
        <v>0</v>
      </c>
      <c r="BV102" s="15">
        <f>BQ102/AD102</f>
        <v>0</v>
      </c>
      <c r="BW102" s="33">
        <f>70000000+70000000</f>
        <v>140000000</v>
      </c>
      <c r="BX102" s="33"/>
      <c r="BY102" s="33" t="s">
        <v>435</v>
      </c>
      <c r="BZ102" s="36"/>
    </row>
    <row r="103" spans="1:78" s="1" customFormat="1" ht="15" customHeight="1" x14ac:dyDescent="0.2">
      <c r="A103" s="12"/>
      <c r="B103" s="24"/>
      <c r="C103" s="24"/>
      <c r="D103" s="24"/>
      <c r="E103" s="3"/>
      <c r="F103" s="9"/>
      <c r="G103" s="10"/>
      <c r="H103" s="3"/>
      <c r="I103" s="3"/>
      <c r="J103" s="3"/>
      <c r="K103" s="3"/>
      <c r="L103" s="3"/>
      <c r="M103" s="11"/>
      <c r="N103" s="11"/>
      <c r="O103" s="11"/>
      <c r="P103" s="3"/>
      <c r="Q103" s="12"/>
      <c r="R103" s="12"/>
      <c r="S103" s="12"/>
      <c r="T103" s="12"/>
      <c r="U103" s="12"/>
      <c r="V103" s="25"/>
      <c r="W103" s="34"/>
      <c r="X103" s="24"/>
      <c r="Y103" s="110"/>
      <c r="Z103" s="33"/>
      <c r="AA103" s="33"/>
      <c r="AB103" s="7"/>
      <c r="AC103" s="33"/>
      <c r="AD103" s="33"/>
      <c r="AE103" s="33"/>
      <c r="AF103" s="7"/>
      <c r="AG103" s="33"/>
      <c r="AH103" s="33"/>
      <c r="AI103" s="33"/>
      <c r="AJ103" s="33"/>
      <c r="AK103" s="33"/>
      <c r="AL103" s="7"/>
      <c r="AM103" s="33"/>
      <c r="AN103" s="7"/>
      <c r="AO103" s="33"/>
      <c r="AP103" s="33"/>
      <c r="AQ103" s="7"/>
      <c r="AR103" s="7"/>
      <c r="AS103" s="7"/>
      <c r="AT103" s="33"/>
      <c r="AU103" s="33"/>
      <c r="AV103" s="7"/>
      <c r="AW103" s="33"/>
      <c r="AX103" s="33"/>
      <c r="AY103" s="7"/>
      <c r="AZ103" s="33"/>
      <c r="BA103" s="33"/>
      <c r="BB103" s="7"/>
      <c r="BC103" s="33"/>
      <c r="BD103" s="7"/>
      <c r="BE103" s="33"/>
      <c r="BF103" s="7"/>
      <c r="BG103" s="33"/>
      <c r="BH103" s="7"/>
      <c r="BI103" s="33"/>
      <c r="BJ103" s="7"/>
      <c r="BK103" s="33"/>
      <c r="BL103" s="7"/>
      <c r="BM103" s="33"/>
      <c r="BN103" s="7"/>
      <c r="BO103" s="33"/>
      <c r="BP103" s="14"/>
      <c r="BQ103" s="14"/>
      <c r="BR103" s="7"/>
      <c r="BS103" s="7"/>
      <c r="BT103" s="7"/>
      <c r="BU103" s="15"/>
      <c r="BV103" s="15"/>
      <c r="BW103" s="33"/>
      <c r="BX103" s="33"/>
      <c r="BY103" s="33"/>
      <c r="BZ103" s="36"/>
    </row>
    <row r="104" spans="1:78" s="1" customFormat="1" ht="15" customHeight="1" x14ac:dyDescent="0.2">
      <c r="A104" s="12" t="s">
        <v>7</v>
      </c>
      <c r="B104" s="24" t="s">
        <v>62</v>
      </c>
      <c r="C104" s="24" t="s">
        <v>227</v>
      </c>
      <c r="D104" s="24"/>
      <c r="E104" s="3">
        <v>255005</v>
      </c>
      <c r="F104" s="9" t="s">
        <v>13</v>
      </c>
      <c r="G104" s="10" t="s">
        <v>13</v>
      </c>
      <c r="H104" s="3">
        <v>4</v>
      </c>
      <c r="I104" s="3">
        <v>35</v>
      </c>
      <c r="J104" s="3">
        <v>1409</v>
      </c>
      <c r="K104" s="3" t="s">
        <v>186</v>
      </c>
      <c r="L104" s="3" t="s">
        <v>189</v>
      </c>
      <c r="M104" s="11" t="s">
        <v>187</v>
      </c>
      <c r="N104" s="11" t="s">
        <v>187</v>
      </c>
      <c r="O104" s="11" t="s">
        <v>193</v>
      </c>
      <c r="P104" s="3" t="s">
        <v>188</v>
      </c>
      <c r="Q104" s="12" t="s">
        <v>110</v>
      </c>
      <c r="R104" s="12" t="s">
        <v>222</v>
      </c>
      <c r="S104" s="12"/>
      <c r="T104" s="12" t="s">
        <v>36</v>
      </c>
      <c r="U104" s="12" t="s">
        <v>13</v>
      </c>
      <c r="V104" s="25" t="s">
        <v>69</v>
      </c>
      <c r="W104" s="34" t="s">
        <v>142</v>
      </c>
      <c r="X104" s="24" t="s">
        <v>167</v>
      </c>
      <c r="Y104" s="110" t="s">
        <v>38</v>
      </c>
      <c r="Z104" s="33">
        <v>390000</v>
      </c>
      <c r="AA104" s="33"/>
      <c r="AB104" s="7">
        <f t="shared" si="15"/>
        <v>390000</v>
      </c>
      <c r="AC104" s="33"/>
      <c r="AD104" s="33">
        <f>AB104+AC104</f>
        <v>390000</v>
      </c>
      <c r="AE104" s="33"/>
      <c r="AF104" s="7">
        <f>+AD104+AE104</f>
        <v>390000</v>
      </c>
      <c r="AG104" s="33"/>
      <c r="AH104" s="33">
        <v>500000</v>
      </c>
      <c r="AI104" s="33">
        <v>1000000</v>
      </c>
      <c r="AJ104" s="33"/>
      <c r="AK104" s="33"/>
      <c r="AL104" s="7">
        <f t="shared" si="16"/>
        <v>0</v>
      </c>
      <c r="AM104" s="33"/>
      <c r="AN104" s="7">
        <f t="shared" si="17"/>
        <v>0</v>
      </c>
      <c r="AO104" s="33"/>
      <c r="AP104" s="33"/>
      <c r="AQ104" s="7">
        <f t="shared" si="18"/>
        <v>0</v>
      </c>
      <c r="AR104" s="7">
        <f t="shared" si="19"/>
        <v>0</v>
      </c>
      <c r="AS104" s="7">
        <f t="shared" si="20"/>
        <v>0</v>
      </c>
      <c r="AT104" s="33"/>
      <c r="AU104" s="33"/>
      <c r="AV104" s="7">
        <f t="shared" si="21"/>
        <v>0</v>
      </c>
      <c r="AW104" s="33">
        <v>60641.08</v>
      </c>
      <c r="AX104" s="33"/>
      <c r="AY104" s="7">
        <f t="shared" si="22"/>
        <v>60641.08</v>
      </c>
      <c r="AZ104" s="33"/>
      <c r="BA104" s="33"/>
      <c r="BB104" s="7">
        <f>AZ104+BA104</f>
        <v>0</v>
      </c>
      <c r="BC104" s="33"/>
      <c r="BD104" s="7">
        <f t="shared" si="23"/>
        <v>0</v>
      </c>
      <c r="BE104" s="33"/>
      <c r="BF104" s="7">
        <f t="shared" si="24"/>
        <v>0</v>
      </c>
      <c r="BG104" s="33"/>
      <c r="BH104" s="7">
        <f t="shared" si="25"/>
        <v>0</v>
      </c>
      <c r="BI104" s="33"/>
      <c r="BJ104" s="7">
        <f t="shared" si="26"/>
        <v>0</v>
      </c>
      <c r="BK104" s="33"/>
      <c r="BL104" s="7">
        <f t="shared" si="27"/>
        <v>0</v>
      </c>
      <c r="BM104" s="33"/>
      <c r="BN104" s="7">
        <f t="shared" si="28"/>
        <v>0</v>
      </c>
      <c r="BO104" s="33"/>
      <c r="BP104" s="14">
        <f t="shared" si="29"/>
        <v>60641.08</v>
      </c>
      <c r="BQ104" s="14">
        <f>AL104+AN104+AQ104+AV104+AY104+BB104</f>
        <v>60641.08</v>
      </c>
      <c r="BR104" s="7"/>
      <c r="BS104" s="7">
        <f>AD104-BP104</f>
        <v>329358.92</v>
      </c>
      <c r="BT104" s="7">
        <f>AD104-BQ104</f>
        <v>329358.92</v>
      </c>
      <c r="BU104" s="15">
        <f>BP104/AD104</f>
        <v>0.15548994871794872</v>
      </c>
      <c r="BV104" s="15">
        <f>BQ104/AD104</f>
        <v>0.15548994871794872</v>
      </c>
      <c r="BW104" s="291"/>
      <c r="BX104" s="291"/>
      <c r="BY104" s="33"/>
      <c r="BZ104" s="36"/>
    </row>
    <row r="105" spans="1:78" s="1" customFormat="1" ht="15" customHeight="1" x14ac:dyDescent="0.2">
      <c r="A105" s="12" t="s">
        <v>7</v>
      </c>
      <c r="B105" s="24" t="s">
        <v>62</v>
      </c>
      <c r="C105" s="24" t="s">
        <v>227</v>
      </c>
      <c r="D105" s="24"/>
      <c r="E105" s="3">
        <v>255005</v>
      </c>
      <c r="F105" s="9"/>
      <c r="G105" s="10"/>
      <c r="H105" s="3"/>
      <c r="I105" s="11"/>
      <c r="J105" s="3"/>
      <c r="K105" s="11"/>
      <c r="L105" s="11"/>
      <c r="M105" s="11"/>
      <c r="N105" s="11"/>
      <c r="O105" s="11"/>
      <c r="P105" s="11"/>
      <c r="Q105" s="12"/>
      <c r="R105" s="12"/>
      <c r="S105" s="12"/>
      <c r="T105" s="12"/>
      <c r="U105" s="12"/>
      <c r="V105" s="13"/>
      <c r="W105" s="34"/>
      <c r="X105" s="24" t="s">
        <v>467</v>
      </c>
      <c r="Y105" s="110" t="s">
        <v>460</v>
      </c>
      <c r="Z105" s="33"/>
      <c r="AA105" s="33"/>
      <c r="AB105" s="7"/>
      <c r="AC105" s="33"/>
      <c r="AD105" s="33"/>
      <c r="AE105" s="33"/>
      <c r="AF105" s="7"/>
      <c r="AG105" s="33"/>
      <c r="AH105" s="33">
        <v>10327914</v>
      </c>
      <c r="AI105" s="33">
        <v>10818705</v>
      </c>
      <c r="AJ105" s="33">
        <v>0</v>
      </c>
      <c r="AK105" s="33"/>
      <c r="AL105" s="7"/>
      <c r="AM105" s="33"/>
      <c r="AN105" s="7"/>
      <c r="AO105" s="33"/>
      <c r="AP105" s="33"/>
      <c r="AQ105" s="7"/>
      <c r="AR105" s="7"/>
      <c r="AS105" s="7"/>
      <c r="AT105" s="33"/>
      <c r="AU105" s="33"/>
      <c r="AV105" s="7"/>
      <c r="AW105" s="33"/>
      <c r="AX105" s="33"/>
      <c r="AY105" s="7"/>
      <c r="AZ105" s="33"/>
      <c r="BA105" s="33"/>
      <c r="BB105" s="7"/>
      <c r="BC105" s="33"/>
      <c r="BD105" s="7"/>
      <c r="BE105" s="33"/>
      <c r="BF105" s="7"/>
      <c r="BG105" s="33"/>
      <c r="BH105" s="7"/>
      <c r="BI105" s="33"/>
      <c r="BJ105" s="7"/>
      <c r="BK105" s="33"/>
      <c r="BL105" s="7"/>
      <c r="BM105" s="33"/>
      <c r="BN105" s="7"/>
      <c r="BO105" s="33"/>
      <c r="BP105" s="14"/>
      <c r="BQ105" s="14"/>
      <c r="BR105" s="7"/>
      <c r="BS105" s="7"/>
      <c r="BT105" s="7"/>
      <c r="BU105" s="15"/>
      <c r="BV105" s="15"/>
      <c r="BW105" s="291"/>
      <c r="BX105" s="291"/>
      <c r="BY105" s="33"/>
      <c r="BZ105" s="36"/>
    </row>
    <row r="106" spans="1:78" s="1" customFormat="1" ht="17.100000000000001" customHeight="1" thickBot="1" x14ac:dyDescent="0.3">
      <c r="A106" s="9"/>
      <c r="B106" s="24"/>
      <c r="C106" s="24"/>
      <c r="D106" s="24"/>
      <c r="E106" s="3"/>
      <c r="F106" s="9"/>
      <c r="G106" s="10"/>
      <c r="H106" s="3"/>
      <c r="I106" s="11"/>
      <c r="J106" s="3"/>
      <c r="K106" s="11"/>
      <c r="L106" s="11"/>
      <c r="M106" s="11"/>
      <c r="N106" s="11"/>
      <c r="O106" s="11"/>
      <c r="P106" s="11"/>
      <c r="Q106" s="12"/>
      <c r="R106" s="12"/>
      <c r="S106" s="12"/>
      <c r="T106" s="12"/>
      <c r="U106" s="12"/>
      <c r="V106" s="13"/>
      <c r="W106" s="34"/>
      <c r="X106" s="24"/>
      <c r="Y106" s="12"/>
      <c r="Z106" s="33"/>
      <c r="AA106" s="33"/>
      <c r="AB106" s="7"/>
      <c r="AC106" s="33"/>
      <c r="AD106" s="33"/>
      <c r="AE106" s="33"/>
      <c r="AF106" s="7"/>
      <c r="AG106" s="33"/>
      <c r="AH106" s="315">
        <f>SUM(AH104:AH105)</f>
        <v>10827914</v>
      </c>
      <c r="AI106" s="315">
        <f>SUM(AI104:AI105)</f>
        <v>11818705</v>
      </c>
      <c r="AJ106" s="315">
        <f>SUM(AJ104:AJ105)</f>
        <v>0</v>
      </c>
      <c r="AK106" s="33"/>
      <c r="AL106" s="7"/>
      <c r="AM106" s="33"/>
      <c r="AN106" s="7"/>
      <c r="AO106" s="33"/>
      <c r="AP106" s="33"/>
      <c r="AQ106" s="7"/>
      <c r="AR106" s="7"/>
      <c r="AS106" s="7"/>
      <c r="AT106" s="33"/>
      <c r="AU106" s="33"/>
      <c r="AV106" s="7"/>
      <c r="AW106" s="33"/>
      <c r="AX106" s="33"/>
      <c r="AY106" s="7"/>
      <c r="AZ106" s="33"/>
      <c r="BA106" s="33"/>
      <c r="BB106" s="7"/>
      <c r="BC106" s="33"/>
      <c r="BD106" s="7"/>
      <c r="BE106" s="33"/>
      <c r="BF106" s="7"/>
      <c r="BG106" s="33"/>
      <c r="BH106" s="7"/>
      <c r="BI106" s="33"/>
      <c r="BJ106" s="7"/>
      <c r="BK106" s="33"/>
      <c r="BL106" s="7"/>
      <c r="BM106" s="33"/>
      <c r="BN106" s="7"/>
      <c r="BO106" s="33"/>
      <c r="BP106" s="14"/>
      <c r="BQ106" s="14"/>
      <c r="BR106" s="7"/>
      <c r="BS106" s="7"/>
      <c r="BT106" s="7"/>
      <c r="BU106" s="15"/>
      <c r="BV106" s="15"/>
      <c r="BW106" s="291"/>
      <c r="BX106" s="291"/>
      <c r="BY106" s="33"/>
      <c r="BZ106" s="36"/>
    </row>
    <row r="107" spans="1:78" s="1" customFormat="1" ht="15" customHeight="1" x14ac:dyDescent="0.2">
      <c r="A107" s="12" t="s">
        <v>7</v>
      </c>
      <c r="B107" s="24" t="s">
        <v>62</v>
      </c>
      <c r="C107" s="24" t="s">
        <v>227</v>
      </c>
      <c r="D107" s="24"/>
      <c r="E107" s="3">
        <v>255005</v>
      </c>
      <c r="F107" s="9"/>
      <c r="G107" s="10"/>
      <c r="H107" s="3"/>
      <c r="I107" s="11"/>
      <c r="J107" s="3"/>
      <c r="K107" s="11"/>
      <c r="L107" s="11"/>
      <c r="M107" s="11"/>
      <c r="N107" s="11"/>
      <c r="O107" s="11"/>
      <c r="P107" s="11"/>
      <c r="Q107" s="12"/>
      <c r="R107" s="12"/>
      <c r="S107" s="12"/>
      <c r="T107" s="12"/>
      <c r="U107" s="12"/>
      <c r="V107" s="13"/>
      <c r="W107" s="34"/>
      <c r="X107" s="24" t="s">
        <v>484</v>
      </c>
      <c r="Y107" s="12"/>
      <c r="Z107" s="33"/>
      <c r="AA107" s="33"/>
      <c r="AB107" s="7"/>
      <c r="AC107" s="33"/>
      <c r="AD107" s="33"/>
      <c r="AE107" s="33"/>
      <c r="AF107" s="7"/>
      <c r="AG107" s="33"/>
      <c r="AH107" s="33"/>
      <c r="AI107" s="33"/>
      <c r="AJ107" s="33"/>
      <c r="AK107" s="33"/>
      <c r="AL107" s="7"/>
      <c r="AM107" s="33"/>
      <c r="AN107" s="7"/>
      <c r="AO107" s="33"/>
      <c r="AP107" s="33"/>
      <c r="AQ107" s="7"/>
      <c r="AR107" s="7"/>
      <c r="AS107" s="7"/>
      <c r="AT107" s="33"/>
      <c r="AU107" s="33"/>
      <c r="AV107" s="7"/>
      <c r="AW107" s="33"/>
      <c r="AX107" s="33"/>
      <c r="AY107" s="7"/>
      <c r="AZ107" s="33"/>
      <c r="BA107" s="33"/>
      <c r="BB107" s="7"/>
      <c r="BC107" s="33"/>
      <c r="BD107" s="7"/>
      <c r="BE107" s="33"/>
      <c r="BF107" s="7"/>
      <c r="BG107" s="33"/>
      <c r="BH107" s="7"/>
      <c r="BI107" s="33"/>
      <c r="BJ107" s="7"/>
      <c r="BK107" s="33"/>
      <c r="BL107" s="7"/>
      <c r="BM107" s="33"/>
      <c r="BN107" s="7"/>
      <c r="BO107" s="33"/>
      <c r="BP107" s="14"/>
      <c r="BQ107" s="14"/>
      <c r="BR107" s="7"/>
      <c r="BS107" s="7"/>
      <c r="BT107" s="7"/>
      <c r="BU107" s="15"/>
      <c r="BV107" s="15"/>
      <c r="BW107" s="291"/>
      <c r="BX107" s="291"/>
      <c r="BY107" s="33"/>
      <c r="BZ107" s="36"/>
    </row>
    <row r="108" spans="1:78" s="1" customFormat="1" ht="15" customHeight="1" x14ac:dyDescent="0.25">
      <c r="A108" s="9"/>
      <c r="B108" s="24"/>
      <c r="C108" s="24"/>
      <c r="D108" s="24"/>
      <c r="E108" s="3"/>
      <c r="F108" s="9"/>
      <c r="G108" s="10"/>
      <c r="H108" s="3"/>
      <c r="I108" s="11"/>
      <c r="J108" s="3"/>
      <c r="K108" s="11"/>
      <c r="L108" s="11"/>
      <c r="M108" s="11"/>
      <c r="N108" s="11"/>
      <c r="O108" s="11"/>
      <c r="P108" s="11"/>
      <c r="Q108" s="12"/>
      <c r="R108" s="12"/>
      <c r="S108" s="12"/>
      <c r="T108" s="12"/>
      <c r="U108" s="12"/>
      <c r="V108" s="13"/>
      <c r="W108" s="34"/>
      <c r="X108" s="24"/>
      <c r="Y108" s="12"/>
      <c r="Z108" s="33"/>
      <c r="AA108" s="33"/>
      <c r="AB108" s="7"/>
      <c r="AC108" s="33"/>
      <c r="AD108" s="33"/>
      <c r="AE108" s="33"/>
      <c r="AF108" s="7"/>
      <c r="AG108" s="33"/>
      <c r="AH108" s="313">
        <v>23000000</v>
      </c>
      <c r="AI108" s="313">
        <v>100000</v>
      </c>
      <c r="AJ108" s="313">
        <v>0</v>
      </c>
      <c r="AK108" s="33"/>
      <c r="AL108" s="7"/>
      <c r="AM108" s="33"/>
      <c r="AN108" s="7"/>
      <c r="AO108" s="33"/>
      <c r="AP108" s="33"/>
      <c r="AQ108" s="7"/>
      <c r="AR108" s="7"/>
      <c r="AS108" s="7"/>
      <c r="AT108" s="33"/>
      <c r="AU108" s="33"/>
      <c r="AV108" s="7"/>
      <c r="AW108" s="33"/>
      <c r="AX108" s="33"/>
      <c r="AY108" s="7"/>
      <c r="AZ108" s="33"/>
      <c r="BA108" s="33"/>
      <c r="BB108" s="7"/>
      <c r="BC108" s="33"/>
      <c r="BD108" s="7"/>
      <c r="BE108" s="33"/>
      <c r="BF108" s="7"/>
      <c r="BG108" s="33"/>
      <c r="BH108" s="7"/>
      <c r="BI108" s="33"/>
      <c r="BJ108" s="7"/>
      <c r="BK108" s="33"/>
      <c r="BL108" s="7"/>
      <c r="BM108" s="33"/>
      <c r="BN108" s="7"/>
      <c r="BO108" s="33"/>
      <c r="BP108" s="14"/>
      <c r="BQ108" s="14"/>
      <c r="BR108" s="7"/>
      <c r="BS108" s="7"/>
      <c r="BT108" s="7"/>
      <c r="BU108" s="15"/>
      <c r="BV108" s="15"/>
      <c r="BW108" s="291"/>
      <c r="BX108" s="291"/>
      <c r="BY108" s="33"/>
      <c r="BZ108" s="36"/>
    </row>
    <row r="109" spans="1:78" s="1" customFormat="1" ht="15" customHeight="1" x14ac:dyDescent="0.25">
      <c r="A109" s="9"/>
      <c r="B109" s="24"/>
      <c r="C109" s="24"/>
      <c r="D109" s="24"/>
      <c r="E109" s="3"/>
      <c r="F109" s="9"/>
      <c r="G109" s="10"/>
      <c r="H109" s="3"/>
      <c r="I109" s="11"/>
      <c r="J109" s="3"/>
      <c r="K109" s="11"/>
      <c r="L109" s="11"/>
      <c r="M109" s="11"/>
      <c r="N109" s="11"/>
      <c r="O109" s="11"/>
      <c r="P109" s="11"/>
      <c r="Q109" s="12"/>
      <c r="R109" s="12"/>
      <c r="S109" s="12"/>
      <c r="T109" s="12"/>
      <c r="U109" s="12"/>
      <c r="V109" s="13"/>
      <c r="W109" s="34"/>
      <c r="X109" s="24"/>
      <c r="Y109" s="12"/>
      <c r="Z109" s="33"/>
      <c r="AA109" s="33"/>
      <c r="AB109" s="7"/>
      <c r="AC109" s="33"/>
      <c r="AD109" s="33"/>
      <c r="AE109" s="33"/>
      <c r="AF109" s="7"/>
      <c r="AG109" s="33"/>
      <c r="AH109" s="313"/>
      <c r="AI109" s="313"/>
      <c r="AJ109" s="313"/>
      <c r="AK109" s="33"/>
      <c r="AL109" s="7"/>
      <c r="AM109" s="33"/>
      <c r="AN109" s="7"/>
      <c r="AO109" s="33"/>
      <c r="AP109" s="33"/>
      <c r="AQ109" s="7"/>
      <c r="AR109" s="7"/>
      <c r="AS109" s="7"/>
      <c r="AT109" s="33"/>
      <c r="AU109" s="33"/>
      <c r="AV109" s="7"/>
      <c r="AW109" s="33"/>
      <c r="AX109" s="33"/>
      <c r="AY109" s="7"/>
      <c r="AZ109" s="33"/>
      <c r="BA109" s="33"/>
      <c r="BB109" s="7"/>
      <c r="BC109" s="33"/>
      <c r="BD109" s="7"/>
      <c r="BE109" s="33"/>
      <c r="BF109" s="7"/>
      <c r="BG109" s="33"/>
      <c r="BH109" s="7"/>
      <c r="BI109" s="33"/>
      <c r="BJ109" s="7"/>
      <c r="BK109" s="33"/>
      <c r="BL109" s="7"/>
      <c r="BM109" s="33"/>
      <c r="BN109" s="7"/>
      <c r="BO109" s="33"/>
      <c r="BP109" s="14"/>
      <c r="BQ109" s="14"/>
      <c r="BR109" s="7"/>
      <c r="BS109" s="7"/>
      <c r="BT109" s="7"/>
      <c r="BU109" s="15"/>
      <c r="BV109" s="15"/>
      <c r="BW109" s="291"/>
      <c r="BX109" s="291"/>
      <c r="BY109" s="33"/>
      <c r="BZ109" s="36"/>
    </row>
    <row r="110" spans="1:78" s="1" customFormat="1" ht="15" customHeight="1" x14ac:dyDescent="0.25">
      <c r="A110" s="12" t="s">
        <v>7</v>
      </c>
      <c r="B110" s="24" t="s">
        <v>62</v>
      </c>
      <c r="C110" s="24" t="s">
        <v>227</v>
      </c>
      <c r="D110" s="24"/>
      <c r="E110" s="3">
        <v>255005</v>
      </c>
      <c r="F110" s="9"/>
      <c r="G110" s="10"/>
      <c r="H110" s="3"/>
      <c r="I110" s="11"/>
      <c r="J110" s="3"/>
      <c r="K110" s="11"/>
      <c r="L110" s="11"/>
      <c r="M110" s="11"/>
      <c r="N110" s="11"/>
      <c r="O110" s="11"/>
      <c r="P110" s="11"/>
      <c r="Q110" s="12"/>
      <c r="R110" s="12"/>
      <c r="S110" s="12"/>
      <c r="T110" s="12"/>
      <c r="U110" s="12"/>
      <c r="V110" s="13"/>
      <c r="W110" s="34"/>
      <c r="X110" s="24" t="s">
        <v>485</v>
      </c>
      <c r="Y110" s="12"/>
      <c r="Z110" s="33"/>
      <c r="AA110" s="33"/>
      <c r="AB110" s="7"/>
      <c r="AC110" s="33"/>
      <c r="AD110" s="33"/>
      <c r="AE110" s="33"/>
      <c r="AF110" s="7"/>
      <c r="AG110" s="33"/>
      <c r="AH110" s="313">
        <v>1000000</v>
      </c>
      <c r="AI110" s="313">
        <v>1000000</v>
      </c>
      <c r="AJ110" s="313">
        <v>5000000</v>
      </c>
      <c r="AK110" s="33"/>
      <c r="AL110" s="7"/>
      <c r="AM110" s="33"/>
      <c r="AN110" s="7"/>
      <c r="AO110" s="33"/>
      <c r="AP110" s="33"/>
      <c r="AQ110" s="7"/>
      <c r="AR110" s="7"/>
      <c r="AS110" s="7"/>
      <c r="AT110" s="33"/>
      <c r="AU110" s="33"/>
      <c r="AV110" s="7"/>
      <c r="AW110" s="33"/>
      <c r="AX110" s="33"/>
      <c r="AY110" s="7"/>
      <c r="AZ110" s="33"/>
      <c r="BA110" s="33"/>
      <c r="BB110" s="7"/>
      <c r="BC110" s="33"/>
      <c r="BD110" s="7"/>
      <c r="BE110" s="33"/>
      <c r="BF110" s="7"/>
      <c r="BG110" s="33"/>
      <c r="BH110" s="7"/>
      <c r="BI110" s="33"/>
      <c r="BJ110" s="7"/>
      <c r="BK110" s="33"/>
      <c r="BL110" s="7"/>
      <c r="BM110" s="33"/>
      <c r="BN110" s="7"/>
      <c r="BO110" s="33"/>
      <c r="BP110" s="14"/>
      <c r="BQ110" s="14"/>
      <c r="BR110" s="7"/>
      <c r="BS110" s="7"/>
      <c r="BT110" s="7"/>
      <c r="BU110" s="15"/>
      <c r="BV110" s="15"/>
      <c r="BW110" s="291"/>
      <c r="BX110" s="291"/>
      <c r="BY110" s="33"/>
      <c r="BZ110" s="36"/>
    </row>
    <row r="111" spans="1:78" s="1" customFormat="1" ht="15" customHeight="1" x14ac:dyDescent="0.25">
      <c r="A111" s="12"/>
      <c r="B111" s="24"/>
      <c r="C111" s="24"/>
      <c r="D111" s="24"/>
      <c r="E111" s="3"/>
      <c r="F111" s="9"/>
      <c r="G111" s="10"/>
      <c r="H111" s="3"/>
      <c r="I111" s="11"/>
      <c r="J111" s="3"/>
      <c r="K111" s="11"/>
      <c r="L111" s="11"/>
      <c r="M111" s="11"/>
      <c r="N111" s="11"/>
      <c r="O111" s="11"/>
      <c r="P111" s="11"/>
      <c r="Q111" s="12"/>
      <c r="R111" s="12"/>
      <c r="S111" s="12"/>
      <c r="T111" s="12"/>
      <c r="U111" s="12"/>
      <c r="V111" s="13"/>
      <c r="W111" s="34"/>
      <c r="X111" s="24"/>
      <c r="Y111" s="12"/>
      <c r="Z111" s="33"/>
      <c r="AA111" s="33"/>
      <c r="AB111" s="7"/>
      <c r="AC111" s="33"/>
      <c r="AD111" s="33"/>
      <c r="AE111" s="33"/>
      <c r="AF111" s="7"/>
      <c r="AG111" s="33"/>
      <c r="AH111" s="313"/>
      <c r="AI111" s="313"/>
      <c r="AJ111" s="313"/>
      <c r="AK111" s="33"/>
      <c r="AL111" s="7"/>
      <c r="AM111" s="33"/>
      <c r="AN111" s="7"/>
      <c r="AO111" s="33"/>
      <c r="AP111" s="33"/>
      <c r="AQ111" s="7"/>
      <c r="AR111" s="7"/>
      <c r="AS111" s="7"/>
      <c r="AT111" s="33"/>
      <c r="AU111" s="33"/>
      <c r="AV111" s="7"/>
      <c r="AW111" s="33"/>
      <c r="AX111" s="33"/>
      <c r="AY111" s="7"/>
      <c r="AZ111" s="33"/>
      <c r="BA111" s="33"/>
      <c r="BB111" s="7"/>
      <c r="BC111" s="33"/>
      <c r="BD111" s="7"/>
      <c r="BE111" s="33"/>
      <c r="BF111" s="7"/>
      <c r="BG111" s="33"/>
      <c r="BH111" s="7"/>
      <c r="BI111" s="33"/>
      <c r="BJ111" s="7"/>
      <c r="BK111" s="33"/>
      <c r="BL111" s="7"/>
      <c r="BM111" s="33"/>
      <c r="BN111" s="7"/>
      <c r="BO111" s="33"/>
      <c r="BP111" s="14"/>
      <c r="BQ111" s="14"/>
      <c r="BR111" s="7"/>
      <c r="BS111" s="7"/>
      <c r="BT111" s="7"/>
      <c r="BU111" s="15"/>
      <c r="BV111" s="15"/>
      <c r="BW111" s="291"/>
      <c r="BX111" s="291"/>
      <c r="BY111" s="33"/>
      <c r="BZ111" s="36"/>
    </row>
    <row r="112" spans="1:78" s="1" customFormat="1" ht="15" customHeight="1" x14ac:dyDescent="0.25">
      <c r="A112" s="12" t="s">
        <v>7</v>
      </c>
      <c r="B112" s="24" t="s">
        <v>62</v>
      </c>
      <c r="C112" s="24" t="s">
        <v>227</v>
      </c>
      <c r="D112" s="24"/>
      <c r="E112" s="3">
        <v>255005</v>
      </c>
      <c r="F112" s="9"/>
      <c r="G112" s="10"/>
      <c r="H112" s="3"/>
      <c r="I112" s="11"/>
      <c r="J112" s="3"/>
      <c r="K112" s="11"/>
      <c r="L112" s="11"/>
      <c r="M112" s="11"/>
      <c r="N112" s="11"/>
      <c r="O112" s="11"/>
      <c r="P112" s="11"/>
      <c r="Q112" s="12"/>
      <c r="R112" s="12"/>
      <c r="S112" s="12"/>
      <c r="T112" s="12"/>
      <c r="U112" s="12"/>
      <c r="V112" s="13"/>
      <c r="W112" s="34"/>
      <c r="X112" s="24" t="s">
        <v>486</v>
      </c>
      <c r="Y112" s="12"/>
      <c r="Z112" s="33"/>
      <c r="AA112" s="33"/>
      <c r="AB112" s="7"/>
      <c r="AC112" s="33"/>
      <c r="AD112" s="33"/>
      <c r="AE112" s="33"/>
      <c r="AF112" s="7"/>
      <c r="AG112" s="33"/>
      <c r="AH112" s="313">
        <v>1000000</v>
      </c>
      <c r="AI112" s="313">
        <v>1000000</v>
      </c>
      <c r="AJ112" s="313">
        <v>5000000</v>
      </c>
      <c r="AK112" s="33"/>
      <c r="AL112" s="7"/>
      <c r="AM112" s="33"/>
      <c r="AN112" s="7"/>
      <c r="AO112" s="33"/>
      <c r="AP112" s="33"/>
      <c r="AQ112" s="7"/>
      <c r="AR112" s="7"/>
      <c r="AS112" s="7"/>
      <c r="AT112" s="33"/>
      <c r="AU112" s="33"/>
      <c r="AV112" s="7"/>
      <c r="AW112" s="33"/>
      <c r="AX112" s="33"/>
      <c r="AY112" s="7"/>
      <c r="AZ112" s="33"/>
      <c r="BA112" s="33"/>
      <c r="BB112" s="7"/>
      <c r="BC112" s="33"/>
      <c r="BD112" s="7"/>
      <c r="BE112" s="33"/>
      <c r="BF112" s="7"/>
      <c r="BG112" s="33"/>
      <c r="BH112" s="7"/>
      <c r="BI112" s="33"/>
      <c r="BJ112" s="7"/>
      <c r="BK112" s="33"/>
      <c r="BL112" s="7"/>
      <c r="BM112" s="33"/>
      <c r="BN112" s="7"/>
      <c r="BO112" s="33"/>
      <c r="BP112" s="14"/>
      <c r="BQ112" s="14"/>
      <c r="BR112" s="7"/>
      <c r="BS112" s="7"/>
      <c r="BT112" s="7"/>
      <c r="BU112" s="15"/>
      <c r="BV112" s="15"/>
      <c r="BW112" s="291"/>
      <c r="BX112" s="291"/>
      <c r="BY112" s="33"/>
      <c r="BZ112" s="36"/>
    </row>
    <row r="113" spans="1:78" s="1" customFormat="1" ht="15" customHeight="1" x14ac:dyDescent="0.25">
      <c r="A113" s="12"/>
      <c r="B113" s="24"/>
      <c r="C113" s="24"/>
      <c r="D113" s="24"/>
      <c r="E113" s="3"/>
      <c r="F113" s="9"/>
      <c r="G113" s="10"/>
      <c r="H113" s="3"/>
      <c r="I113" s="11"/>
      <c r="J113" s="3"/>
      <c r="K113" s="11"/>
      <c r="L113" s="11"/>
      <c r="M113" s="11"/>
      <c r="N113" s="11"/>
      <c r="O113" s="11"/>
      <c r="P113" s="11"/>
      <c r="Q113" s="12"/>
      <c r="R113" s="12"/>
      <c r="S113" s="12"/>
      <c r="T113" s="12"/>
      <c r="U113" s="12"/>
      <c r="V113" s="13"/>
      <c r="W113" s="34"/>
      <c r="X113" s="24"/>
      <c r="Y113" s="12"/>
      <c r="Z113" s="33"/>
      <c r="AA113" s="33"/>
      <c r="AB113" s="7"/>
      <c r="AC113" s="33"/>
      <c r="AD113" s="33"/>
      <c r="AE113" s="33"/>
      <c r="AF113" s="7"/>
      <c r="AG113" s="33"/>
      <c r="AH113" s="313"/>
      <c r="AI113" s="313"/>
      <c r="AJ113" s="313"/>
      <c r="AK113" s="33"/>
      <c r="AL113" s="7"/>
      <c r="AM113" s="33"/>
      <c r="AN113" s="7"/>
      <c r="AO113" s="33"/>
      <c r="AP113" s="33"/>
      <c r="AQ113" s="7"/>
      <c r="AR113" s="7"/>
      <c r="AS113" s="7"/>
      <c r="AT113" s="33"/>
      <c r="AU113" s="33"/>
      <c r="AV113" s="7"/>
      <c r="AW113" s="33"/>
      <c r="AX113" s="33"/>
      <c r="AY113" s="7"/>
      <c r="AZ113" s="33"/>
      <c r="BA113" s="33"/>
      <c r="BB113" s="7"/>
      <c r="BC113" s="33"/>
      <c r="BD113" s="7"/>
      <c r="BE113" s="33"/>
      <c r="BF113" s="7"/>
      <c r="BG113" s="33"/>
      <c r="BH113" s="7"/>
      <c r="BI113" s="33"/>
      <c r="BJ113" s="7"/>
      <c r="BK113" s="33"/>
      <c r="BL113" s="7"/>
      <c r="BM113" s="33"/>
      <c r="BN113" s="7"/>
      <c r="BO113" s="33"/>
      <c r="BP113" s="14"/>
      <c r="BQ113" s="14"/>
      <c r="BR113" s="7"/>
      <c r="BS113" s="7"/>
      <c r="BT113" s="7"/>
      <c r="BU113" s="15"/>
      <c r="BV113" s="15"/>
      <c r="BW113" s="291"/>
      <c r="BX113" s="291"/>
      <c r="BY113" s="33"/>
      <c r="BZ113" s="36"/>
    </row>
    <row r="114" spans="1:78" s="1" customFormat="1" ht="15" customHeight="1" x14ac:dyDescent="0.25">
      <c r="A114" s="12" t="s">
        <v>7</v>
      </c>
      <c r="B114" s="24" t="s">
        <v>62</v>
      </c>
      <c r="C114" s="24" t="s">
        <v>227</v>
      </c>
      <c r="D114" s="24"/>
      <c r="E114" s="3">
        <v>255005</v>
      </c>
      <c r="F114" s="9"/>
      <c r="G114" s="10"/>
      <c r="H114" s="3"/>
      <c r="I114" s="11"/>
      <c r="J114" s="3"/>
      <c r="K114" s="11"/>
      <c r="L114" s="11"/>
      <c r="M114" s="11"/>
      <c r="N114" s="11"/>
      <c r="O114" s="11"/>
      <c r="P114" s="11"/>
      <c r="Q114" s="12"/>
      <c r="R114" s="12"/>
      <c r="S114" s="12"/>
      <c r="T114" s="12"/>
      <c r="U114" s="12"/>
      <c r="V114" s="13"/>
      <c r="W114" s="34"/>
      <c r="X114" s="24" t="s">
        <v>487</v>
      </c>
      <c r="Y114" s="12"/>
      <c r="Z114" s="33"/>
      <c r="AA114" s="33"/>
      <c r="AB114" s="7"/>
      <c r="AC114" s="33"/>
      <c r="AD114" s="33"/>
      <c r="AE114" s="33"/>
      <c r="AF114" s="7"/>
      <c r="AG114" s="33"/>
      <c r="AH114" s="313">
        <v>1000000</v>
      </c>
      <c r="AI114" s="313">
        <v>1000000</v>
      </c>
      <c r="AJ114" s="313">
        <v>5000000</v>
      </c>
      <c r="AK114" s="33"/>
      <c r="AL114" s="7"/>
      <c r="AM114" s="33"/>
      <c r="AN114" s="7"/>
      <c r="AO114" s="33"/>
      <c r="AP114" s="33"/>
      <c r="AQ114" s="7"/>
      <c r="AR114" s="7"/>
      <c r="AS114" s="7"/>
      <c r="AT114" s="33"/>
      <c r="AU114" s="33"/>
      <c r="AV114" s="7"/>
      <c r="AW114" s="33"/>
      <c r="AX114" s="33"/>
      <c r="AY114" s="7"/>
      <c r="AZ114" s="33"/>
      <c r="BA114" s="33"/>
      <c r="BB114" s="7"/>
      <c r="BC114" s="33"/>
      <c r="BD114" s="7"/>
      <c r="BE114" s="33"/>
      <c r="BF114" s="7"/>
      <c r="BG114" s="33"/>
      <c r="BH114" s="7"/>
      <c r="BI114" s="33"/>
      <c r="BJ114" s="7"/>
      <c r="BK114" s="33"/>
      <c r="BL114" s="7"/>
      <c r="BM114" s="33"/>
      <c r="BN114" s="7"/>
      <c r="BO114" s="33"/>
      <c r="BP114" s="14"/>
      <c r="BQ114" s="14"/>
      <c r="BR114" s="7"/>
      <c r="BS114" s="7"/>
      <c r="BT114" s="7"/>
      <c r="BU114" s="15"/>
      <c r="BV114" s="15"/>
      <c r="BW114" s="291"/>
      <c r="BX114" s="291"/>
      <c r="BY114" s="33"/>
      <c r="BZ114" s="36"/>
    </row>
    <row r="115" spans="1:78" s="1" customFormat="1" ht="15" customHeight="1" x14ac:dyDescent="0.25">
      <c r="A115" s="12"/>
      <c r="B115" s="24"/>
      <c r="C115" s="24"/>
      <c r="D115" s="24"/>
      <c r="E115" s="3"/>
      <c r="F115" s="9"/>
      <c r="G115" s="10"/>
      <c r="H115" s="3"/>
      <c r="I115" s="11"/>
      <c r="J115" s="3"/>
      <c r="K115" s="11"/>
      <c r="L115" s="11"/>
      <c r="M115" s="11"/>
      <c r="N115" s="11"/>
      <c r="O115" s="11"/>
      <c r="P115" s="11"/>
      <c r="Q115" s="12"/>
      <c r="R115" s="12"/>
      <c r="S115" s="12"/>
      <c r="T115" s="12"/>
      <c r="U115" s="12"/>
      <c r="V115" s="13"/>
      <c r="W115" s="34"/>
      <c r="X115" s="24"/>
      <c r="Y115" s="12"/>
      <c r="Z115" s="33"/>
      <c r="AA115" s="33"/>
      <c r="AB115" s="7"/>
      <c r="AC115" s="33"/>
      <c r="AD115" s="33"/>
      <c r="AE115" s="33"/>
      <c r="AF115" s="7"/>
      <c r="AG115" s="33"/>
      <c r="AH115" s="313"/>
      <c r="AI115" s="313"/>
      <c r="AJ115" s="313"/>
      <c r="AK115" s="33"/>
      <c r="AL115" s="7"/>
      <c r="AM115" s="33"/>
      <c r="AN115" s="7"/>
      <c r="AO115" s="33"/>
      <c r="AP115" s="33"/>
      <c r="AQ115" s="7"/>
      <c r="AR115" s="7"/>
      <c r="AS115" s="7"/>
      <c r="AT115" s="33"/>
      <c r="AU115" s="33"/>
      <c r="AV115" s="7"/>
      <c r="AW115" s="33"/>
      <c r="AX115" s="33"/>
      <c r="AY115" s="7"/>
      <c r="AZ115" s="33"/>
      <c r="BA115" s="33"/>
      <c r="BB115" s="7"/>
      <c r="BC115" s="33"/>
      <c r="BD115" s="7"/>
      <c r="BE115" s="33"/>
      <c r="BF115" s="7"/>
      <c r="BG115" s="33"/>
      <c r="BH115" s="7"/>
      <c r="BI115" s="33"/>
      <c r="BJ115" s="7"/>
      <c r="BK115" s="33"/>
      <c r="BL115" s="7"/>
      <c r="BM115" s="33"/>
      <c r="BN115" s="7"/>
      <c r="BO115" s="33"/>
      <c r="BP115" s="14"/>
      <c r="BQ115" s="14"/>
      <c r="BR115" s="7"/>
      <c r="BS115" s="7"/>
      <c r="BT115" s="7"/>
      <c r="BU115" s="15"/>
      <c r="BV115" s="15"/>
      <c r="BW115" s="291"/>
      <c r="BX115" s="291"/>
      <c r="BY115" s="33"/>
      <c r="BZ115" s="36"/>
    </row>
    <row r="116" spans="1:78" s="1" customFormat="1" ht="33" customHeight="1" x14ac:dyDescent="0.25">
      <c r="A116" s="12" t="s">
        <v>7</v>
      </c>
      <c r="B116" s="24" t="s">
        <v>62</v>
      </c>
      <c r="C116" s="24" t="s">
        <v>227</v>
      </c>
      <c r="D116" s="24"/>
      <c r="E116" s="3">
        <v>255005</v>
      </c>
      <c r="F116" s="9"/>
      <c r="G116" s="10"/>
      <c r="H116" s="3"/>
      <c r="I116" s="11"/>
      <c r="J116" s="3"/>
      <c r="K116" s="11"/>
      <c r="L116" s="11"/>
      <c r="M116" s="11"/>
      <c r="N116" s="11"/>
      <c r="O116" s="11"/>
      <c r="P116" s="11"/>
      <c r="Q116" s="12"/>
      <c r="R116" s="12"/>
      <c r="S116" s="12"/>
      <c r="T116" s="12"/>
      <c r="U116" s="12"/>
      <c r="V116" s="13"/>
      <c r="W116" s="34"/>
      <c r="X116" s="24" t="s">
        <v>488</v>
      </c>
      <c r="Y116" s="12"/>
      <c r="Z116" s="33"/>
      <c r="AA116" s="33"/>
      <c r="AB116" s="7"/>
      <c r="AC116" s="33"/>
      <c r="AD116" s="33"/>
      <c r="AE116" s="33"/>
      <c r="AF116" s="7"/>
      <c r="AG116" s="33"/>
      <c r="AH116" s="313">
        <v>2140000</v>
      </c>
      <c r="AI116" s="313">
        <v>5350000</v>
      </c>
      <c r="AJ116" s="313">
        <v>3000000</v>
      </c>
      <c r="AK116" s="33"/>
      <c r="AL116" s="7"/>
      <c r="AM116" s="33"/>
      <c r="AN116" s="7"/>
      <c r="AO116" s="33"/>
      <c r="AP116" s="33"/>
      <c r="AQ116" s="7"/>
      <c r="AR116" s="7"/>
      <c r="AS116" s="7"/>
      <c r="AT116" s="33"/>
      <c r="AU116" s="33"/>
      <c r="AV116" s="7"/>
      <c r="AW116" s="33"/>
      <c r="AX116" s="33"/>
      <c r="AY116" s="7"/>
      <c r="AZ116" s="33"/>
      <c r="BA116" s="33"/>
      <c r="BB116" s="7"/>
      <c r="BC116" s="33"/>
      <c r="BD116" s="7"/>
      <c r="BE116" s="33"/>
      <c r="BF116" s="7"/>
      <c r="BG116" s="33"/>
      <c r="BH116" s="7"/>
      <c r="BI116" s="33"/>
      <c r="BJ116" s="7"/>
      <c r="BK116" s="33"/>
      <c r="BL116" s="7"/>
      <c r="BM116" s="33"/>
      <c r="BN116" s="7"/>
      <c r="BO116" s="33"/>
      <c r="BP116" s="14"/>
      <c r="BQ116" s="14"/>
      <c r="BR116" s="7"/>
      <c r="BS116" s="7"/>
      <c r="BT116" s="7"/>
      <c r="BU116" s="15"/>
      <c r="BV116" s="15"/>
      <c r="BW116" s="291"/>
      <c r="BX116" s="291"/>
      <c r="BY116" s="33"/>
      <c r="BZ116" s="36"/>
    </row>
    <row r="117" spans="1:78" s="1" customFormat="1" ht="15" customHeight="1" x14ac:dyDescent="0.25">
      <c r="A117" s="9"/>
      <c r="B117" s="24"/>
      <c r="C117" s="24"/>
      <c r="D117" s="24"/>
      <c r="E117" s="3"/>
      <c r="F117" s="9"/>
      <c r="G117" s="10"/>
      <c r="H117" s="3"/>
      <c r="I117" s="11"/>
      <c r="J117" s="3"/>
      <c r="K117" s="11"/>
      <c r="L117" s="11"/>
      <c r="M117" s="11"/>
      <c r="N117" s="11"/>
      <c r="O117" s="11"/>
      <c r="P117" s="11"/>
      <c r="Q117" s="12"/>
      <c r="R117" s="12"/>
      <c r="S117" s="12"/>
      <c r="T117" s="12"/>
      <c r="U117" s="12"/>
      <c r="V117" s="13"/>
      <c r="W117" s="34"/>
      <c r="X117" s="24"/>
      <c r="Y117" s="12"/>
      <c r="Z117" s="33"/>
      <c r="AA117" s="33"/>
      <c r="AB117" s="7"/>
      <c r="AC117" s="33"/>
      <c r="AD117" s="33"/>
      <c r="AE117" s="33"/>
      <c r="AF117" s="7"/>
      <c r="AG117" s="33"/>
      <c r="AH117" s="313"/>
      <c r="AI117" s="313"/>
      <c r="AJ117" s="313"/>
      <c r="AK117" s="33"/>
      <c r="AL117" s="7"/>
      <c r="AM117" s="33"/>
      <c r="AN117" s="7"/>
      <c r="AO117" s="33"/>
      <c r="AP117" s="33"/>
      <c r="AQ117" s="7"/>
      <c r="AR117" s="7"/>
      <c r="AS117" s="7"/>
      <c r="AT117" s="33"/>
      <c r="AU117" s="33"/>
      <c r="AV117" s="7"/>
      <c r="AW117" s="33"/>
      <c r="AX117" s="33"/>
      <c r="AY117" s="7"/>
      <c r="AZ117" s="33"/>
      <c r="BA117" s="33"/>
      <c r="BB117" s="7"/>
      <c r="BC117" s="33"/>
      <c r="BD117" s="7"/>
      <c r="BE117" s="33"/>
      <c r="BF117" s="7"/>
      <c r="BG117" s="33"/>
      <c r="BH117" s="7"/>
      <c r="BI117" s="33"/>
      <c r="BJ117" s="7"/>
      <c r="BK117" s="33"/>
      <c r="BL117" s="7"/>
      <c r="BM117" s="33"/>
      <c r="BN117" s="7"/>
      <c r="BO117" s="33"/>
      <c r="BP117" s="14"/>
      <c r="BQ117" s="14"/>
      <c r="BR117" s="7"/>
      <c r="BS117" s="7"/>
      <c r="BT117" s="7"/>
      <c r="BU117" s="15"/>
      <c r="BV117" s="15"/>
      <c r="BW117" s="291"/>
      <c r="BX117" s="291"/>
      <c r="BY117" s="33"/>
      <c r="BZ117" s="36"/>
    </row>
    <row r="118" spans="1:78" s="1" customFormat="1" ht="15" customHeight="1" x14ac:dyDescent="0.25">
      <c r="A118" s="12" t="s">
        <v>7</v>
      </c>
      <c r="B118" s="24" t="s">
        <v>62</v>
      </c>
      <c r="C118" s="24" t="s">
        <v>227</v>
      </c>
      <c r="D118" s="24"/>
      <c r="E118" s="3">
        <v>255005</v>
      </c>
      <c r="F118" s="9"/>
      <c r="G118" s="10"/>
      <c r="H118" s="3"/>
      <c r="I118" s="11"/>
      <c r="J118" s="3"/>
      <c r="K118" s="11"/>
      <c r="L118" s="11"/>
      <c r="M118" s="11"/>
      <c r="N118" s="11"/>
      <c r="O118" s="11"/>
      <c r="P118" s="11"/>
      <c r="Q118" s="12"/>
      <c r="R118" s="12"/>
      <c r="S118" s="12"/>
      <c r="T118" s="12"/>
      <c r="U118" s="12"/>
      <c r="V118" s="13"/>
      <c r="W118" s="34"/>
      <c r="X118" s="24" t="s">
        <v>490</v>
      </c>
      <c r="Y118" s="12"/>
      <c r="Z118" s="33"/>
      <c r="AA118" s="33"/>
      <c r="AB118" s="7"/>
      <c r="AC118" s="33"/>
      <c r="AD118" s="33"/>
      <c r="AE118" s="33"/>
      <c r="AF118" s="7"/>
      <c r="AG118" s="33"/>
      <c r="AH118" s="313">
        <v>150000</v>
      </c>
      <c r="AI118" s="313">
        <v>150000</v>
      </c>
      <c r="AJ118" s="313">
        <v>0</v>
      </c>
      <c r="AK118" s="33"/>
      <c r="AL118" s="7"/>
      <c r="AM118" s="33"/>
      <c r="AN118" s="7"/>
      <c r="AO118" s="33"/>
      <c r="AP118" s="33"/>
      <c r="AQ118" s="7"/>
      <c r="AR118" s="7"/>
      <c r="AS118" s="7"/>
      <c r="AT118" s="33"/>
      <c r="AU118" s="33"/>
      <c r="AV118" s="7"/>
      <c r="AW118" s="33"/>
      <c r="AX118" s="33"/>
      <c r="AY118" s="7"/>
      <c r="AZ118" s="33"/>
      <c r="BA118" s="33"/>
      <c r="BB118" s="7"/>
      <c r="BC118" s="33"/>
      <c r="BD118" s="7"/>
      <c r="BE118" s="33"/>
      <c r="BF118" s="7"/>
      <c r="BG118" s="33"/>
      <c r="BH118" s="7"/>
      <c r="BI118" s="33"/>
      <c r="BJ118" s="7"/>
      <c r="BK118" s="33"/>
      <c r="BL118" s="7"/>
      <c r="BM118" s="33"/>
      <c r="BN118" s="7"/>
      <c r="BO118" s="33"/>
      <c r="BP118" s="14"/>
      <c r="BQ118" s="14"/>
      <c r="BR118" s="7"/>
      <c r="BS118" s="7"/>
      <c r="BT118" s="7"/>
      <c r="BU118" s="15"/>
      <c r="BV118" s="15"/>
      <c r="BW118" s="291"/>
      <c r="BX118" s="291"/>
      <c r="BY118" s="33"/>
      <c r="BZ118" s="36"/>
    </row>
    <row r="119" spans="1:78" s="1" customFormat="1" ht="15" customHeight="1" x14ac:dyDescent="0.25">
      <c r="A119" s="9"/>
      <c r="B119" s="24"/>
      <c r="C119" s="24"/>
      <c r="D119" s="24"/>
      <c r="E119" s="3"/>
      <c r="F119" s="9"/>
      <c r="G119" s="10"/>
      <c r="H119" s="3"/>
      <c r="I119" s="11"/>
      <c r="J119" s="3"/>
      <c r="K119" s="11"/>
      <c r="L119" s="11"/>
      <c r="M119" s="11"/>
      <c r="N119" s="11"/>
      <c r="O119" s="11"/>
      <c r="P119" s="11"/>
      <c r="Q119" s="12"/>
      <c r="R119" s="12"/>
      <c r="S119" s="12"/>
      <c r="T119" s="12"/>
      <c r="U119" s="12"/>
      <c r="V119" s="13"/>
      <c r="W119" s="34"/>
      <c r="X119" s="24"/>
      <c r="Y119" s="12"/>
      <c r="Z119" s="33"/>
      <c r="AA119" s="33"/>
      <c r="AB119" s="7"/>
      <c r="AC119" s="33"/>
      <c r="AD119" s="33"/>
      <c r="AE119" s="33"/>
      <c r="AF119" s="7"/>
      <c r="AG119" s="33"/>
      <c r="AH119" s="313"/>
      <c r="AI119" s="313"/>
      <c r="AJ119" s="313"/>
      <c r="AK119" s="33"/>
      <c r="AL119" s="7"/>
      <c r="AM119" s="33"/>
      <c r="AN119" s="7"/>
      <c r="AO119" s="33"/>
      <c r="AP119" s="33"/>
      <c r="AQ119" s="7"/>
      <c r="AR119" s="7"/>
      <c r="AS119" s="7"/>
      <c r="AT119" s="33"/>
      <c r="AU119" s="33"/>
      <c r="AV119" s="7"/>
      <c r="AW119" s="33"/>
      <c r="AX119" s="33"/>
      <c r="AY119" s="7"/>
      <c r="AZ119" s="33"/>
      <c r="BA119" s="33"/>
      <c r="BB119" s="7"/>
      <c r="BC119" s="33"/>
      <c r="BD119" s="7"/>
      <c r="BE119" s="33"/>
      <c r="BF119" s="7"/>
      <c r="BG119" s="33"/>
      <c r="BH119" s="7"/>
      <c r="BI119" s="33"/>
      <c r="BJ119" s="7"/>
      <c r="BK119" s="33"/>
      <c r="BL119" s="7"/>
      <c r="BM119" s="33"/>
      <c r="BN119" s="7"/>
      <c r="BO119" s="33"/>
      <c r="BP119" s="14"/>
      <c r="BQ119" s="14"/>
      <c r="BR119" s="7"/>
      <c r="BS119" s="7"/>
      <c r="BT119" s="7"/>
      <c r="BU119" s="15"/>
      <c r="BV119" s="15"/>
      <c r="BW119" s="291"/>
      <c r="BX119" s="291"/>
      <c r="BY119" s="33"/>
      <c r="BZ119" s="36"/>
    </row>
    <row r="120" spans="1:78" s="1" customFormat="1" ht="15" customHeight="1" x14ac:dyDescent="0.25">
      <c r="A120" s="12" t="s">
        <v>7</v>
      </c>
      <c r="B120" s="24" t="s">
        <v>62</v>
      </c>
      <c r="C120" s="24" t="s">
        <v>227</v>
      </c>
      <c r="D120" s="24"/>
      <c r="E120" s="3">
        <v>255005</v>
      </c>
      <c r="F120" s="9"/>
      <c r="G120" s="10"/>
      <c r="H120" s="3"/>
      <c r="I120" s="11"/>
      <c r="J120" s="3"/>
      <c r="K120" s="11"/>
      <c r="L120" s="11"/>
      <c r="M120" s="11"/>
      <c r="N120" s="11"/>
      <c r="O120" s="11"/>
      <c r="P120" s="11"/>
      <c r="Q120" s="12"/>
      <c r="R120" s="12"/>
      <c r="S120" s="12"/>
      <c r="T120" s="12"/>
      <c r="U120" s="12"/>
      <c r="V120" s="13"/>
      <c r="W120" s="34"/>
      <c r="X120" s="24" t="s">
        <v>489</v>
      </c>
      <c r="Y120" s="12"/>
      <c r="Z120" s="33"/>
      <c r="AA120" s="33"/>
      <c r="AB120" s="7"/>
      <c r="AC120" s="33"/>
      <c r="AD120" s="33"/>
      <c r="AE120" s="33"/>
      <c r="AF120" s="7"/>
      <c r="AG120" s="33"/>
      <c r="AH120" s="317">
        <v>500000</v>
      </c>
      <c r="AI120" s="317">
        <v>0</v>
      </c>
      <c r="AJ120" s="317">
        <v>0</v>
      </c>
      <c r="AK120" s="33"/>
      <c r="AL120" s="7"/>
      <c r="AM120" s="33"/>
      <c r="AN120" s="7"/>
      <c r="AO120" s="33"/>
      <c r="AP120" s="33"/>
      <c r="AQ120" s="7"/>
      <c r="AR120" s="7"/>
      <c r="AS120" s="7"/>
      <c r="AT120" s="33"/>
      <c r="AU120" s="33"/>
      <c r="AV120" s="7"/>
      <c r="AW120" s="33"/>
      <c r="AX120" s="33"/>
      <c r="AY120" s="7"/>
      <c r="AZ120" s="33"/>
      <c r="BA120" s="33"/>
      <c r="BB120" s="7"/>
      <c r="BC120" s="33"/>
      <c r="BD120" s="7"/>
      <c r="BE120" s="33"/>
      <c r="BF120" s="7"/>
      <c r="BG120" s="33"/>
      <c r="BH120" s="7"/>
      <c r="BI120" s="33"/>
      <c r="BJ120" s="7"/>
      <c r="BK120" s="33"/>
      <c r="BL120" s="7"/>
      <c r="BM120" s="33"/>
      <c r="BN120" s="7"/>
      <c r="BO120" s="33"/>
      <c r="BP120" s="14"/>
      <c r="BQ120" s="14"/>
      <c r="BR120" s="7"/>
      <c r="BS120" s="7"/>
      <c r="BT120" s="7"/>
      <c r="BU120" s="15"/>
      <c r="BV120" s="15"/>
      <c r="BW120" s="291"/>
      <c r="BX120" s="291"/>
      <c r="BY120" s="33"/>
      <c r="BZ120" s="36"/>
    </row>
    <row r="121" spans="1:78" s="1" customFormat="1" ht="15" customHeight="1" x14ac:dyDescent="0.25">
      <c r="A121" s="9"/>
      <c r="B121" s="24"/>
      <c r="C121" s="24"/>
      <c r="D121" s="24"/>
      <c r="E121" s="3"/>
      <c r="F121" s="9"/>
      <c r="G121" s="10"/>
      <c r="H121" s="3"/>
      <c r="I121" s="11"/>
      <c r="J121" s="3"/>
      <c r="K121" s="11"/>
      <c r="L121" s="11"/>
      <c r="M121" s="11"/>
      <c r="N121" s="11"/>
      <c r="O121" s="11"/>
      <c r="P121" s="11"/>
      <c r="Q121" s="12"/>
      <c r="R121" s="12"/>
      <c r="S121" s="12"/>
      <c r="T121" s="12"/>
      <c r="U121" s="12"/>
      <c r="V121" s="13"/>
      <c r="W121" s="34"/>
      <c r="X121" s="24"/>
      <c r="Y121" s="12"/>
      <c r="Z121" s="33"/>
      <c r="AA121" s="33"/>
      <c r="AB121" s="7"/>
      <c r="AC121" s="33"/>
      <c r="AD121" s="33"/>
      <c r="AE121" s="33"/>
      <c r="AF121" s="7"/>
      <c r="AG121" s="33"/>
      <c r="AH121" s="313"/>
      <c r="AI121" s="313"/>
      <c r="AJ121" s="313"/>
      <c r="AK121" s="33"/>
      <c r="AL121" s="7"/>
      <c r="AM121" s="33"/>
      <c r="AN121" s="7"/>
      <c r="AO121" s="33"/>
      <c r="AP121" s="33"/>
      <c r="AQ121" s="7"/>
      <c r="AR121" s="7"/>
      <c r="AS121" s="7"/>
      <c r="AT121" s="33"/>
      <c r="AU121" s="33"/>
      <c r="AV121" s="7"/>
      <c r="AW121" s="33"/>
      <c r="AX121" s="33"/>
      <c r="AY121" s="7"/>
      <c r="AZ121" s="33"/>
      <c r="BA121" s="33"/>
      <c r="BB121" s="7"/>
      <c r="BC121" s="33"/>
      <c r="BD121" s="7"/>
      <c r="BE121" s="33"/>
      <c r="BF121" s="7"/>
      <c r="BG121" s="33"/>
      <c r="BH121" s="7"/>
      <c r="BI121" s="33"/>
      <c r="BJ121" s="7"/>
      <c r="BK121" s="33"/>
      <c r="BL121" s="7"/>
      <c r="BM121" s="33"/>
      <c r="BN121" s="7"/>
      <c r="BO121" s="33"/>
      <c r="BP121" s="14"/>
      <c r="BQ121" s="14"/>
      <c r="BR121" s="7"/>
      <c r="BS121" s="7"/>
      <c r="BT121" s="7"/>
      <c r="BU121" s="15"/>
      <c r="BV121" s="15"/>
      <c r="BW121" s="291"/>
      <c r="BX121" s="291"/>
      <c r="BY121" s="33"/>
      <c r="BZ121" s="36"/>
    </row>
    <row r="122" spans="1:78" s="1" customFormat="1" ht="16.5" customHeight="1" thickBot="1" x14ac:dyDescent="0.3">
      <c r="A122" s="114"/>
      <c r="B122" s="28"/>
      <c r="C122" s="28"/>
      <c r="D122" s="28"/>
      <c r="E122" s="16"/>
      <c r="F122" s="37"/>
      <c r="G122" s="38"/>
      <c r="H122" s="16"/>
      <c r="I122" s="16"/>
      <c r="J122" s="16"/>
      <c r="K122" s="16"/>
      <c r="L122" s="16"/>
      <c r="M122" s="16"/>
      <c r="N122" s="16"/>
      <c r="O122" s="16"/>
      <c r="P122" s="16"/>
      <c r="Q122" s="28"/>
      <c r="R122" s="28"/>
      <c r="S122" s="28"/>
      <c r="T122" s="28"/>
      <c r="U122" s="28"/>
      <c r="V122" s="39"/>
      <c r="W122" s="40"/>
      <c r="X122" s="41" t="s">
        <v>114</v>
      </c>
      <c r="Y122" s="28"/>
      <c r="Z122" s="42">
        <f>SUM(Z14:Z104)</f>
        <v>76264440</v>
      </c>
      <c r="AA122" s="42">
        <f>SUM(AA14:AA104)</f>
        <v>0</v>
      </c>
      <c r="AB122" s="42">
        <f>SUM(AB14:AB104)</f>
        <v>76264440</v>
      </c>
      <c r="AC122" s="42">
        <f>SUM(AC14:AC104)</f>
        <v>7085951</v>
      </c>
      <c r="AD122" s="42">
        <f>SUM(AD7:AD104)</f>
        <v>83550391</v>
      </c>
      <c r="AE122" s="42">
        <f>SUM(AE7:AE104)</f>
        <v>-800000</v>
      </c>
      <c r="AF122" s="42">
        <f>SUM(AF7:AF104)</f>
        <v>82750391</v>
      </c>
      <c r="AG122" s="42">
        <f>SUM(AG7:AG104)</f>
        <v>0</v>
      </c>
      <c r="AH122" s="42">
        <f>+AH120+AH118+AH116+AH114+AH112+AH110+AH108+AH106+AH102+AH100+AH96+AH93+AH89+AH84+AH78+AH73+AH67+AH61+AH56+AH46+AH39+AH35+AH25+AH21+AH17+AH12+AH7+AH63+AH41</f>
        <v>255581203</v>
      </c>
      <c r="AI122" s="42">
        <f>+AI120+AI118+AI116+AI114+AI112+AI110+AI108+AI106+AI102+AI100+AI96+AI93+AI89+AI84+AI78+AI73+AI67+AI61+AI56+AI46+AI39+AI35+AI25+AI21+AI17+AI12+AI7+AI63+AI41</f>
        <v>561229653</v>
      </c>
      <c r="AJ122" s="42">
        <f>+AJ120+AJ118+AJ116+AJ114+AJ112+AJ110+AJ108+AJ106+AJ102+AJ100+AJ96+AJ93+AJ89+AJ84+AJ78+AJ73+AJ67+AJ61+AJ56+AJ46+AJ39+AJ35+AJ25+AJ21+AJ17+AJ12+AJ7+AJ63+AJ41</f>
        <v>899525120.73000002</v>
      </c>
      <c r="AK122" s="42">
        <f t="shared" ref="AK122:BT122" si="30">SUM(AK14:AK104)</f>
        <v>0</v>
      </c>
      <c r="AL122" s="42">
        <f t="shared" si="30"/>
        <v>0</v>
      </c>
      <c r="AM122" s="42">
        <f t="shared" si="30"/>
        <v>206300.69</v>
      </c>
      <c r="AN122" s="42">
        <f t="shared" si="30"/>
        <v>227189.19</v>
      </c>
      <c r="AO122" s="42">
        <f t="shared" si="30"/>
        <v>1146539.54</v>
      </c>
      <c r="AP122" s="42">
        <f t="shared" si="30"/>
        <v>117970.53</v>
      </c>
      <c r="AQ122" s="42">
        <f t="shared" si="30"/>
        <v>1264510.07</v>
      </c>
      <c r="AR122" s="42">
        <f t="shared" si="30"/>
        <v>1352840.23</v>
      </c>
      <c r="AS122" s="42">
        <f t="shared" si="30"/>
        <v>1491699.2600000002</v>
      </c>
      <c r="AT122" s="42">
        <f t="shared" si="30"/>
        <v>452264</v>
      </c>
      <c r="AU122" s="42">
        <f t="shared" si="30"/>
        <v>102236.95999999999</v>
      </c>
      <c r="AV122" s="42">
        <f t="shared" si="30"/>
        <v>554500.96</v>
      </c>
      <c r="AW122" s="42">
        <f t="shared" si="30"/>
        <v>1396731.9100000001</v>
      </c>
      <c r="AX122" s="42">
        <f t="shared" si="30"/>
        <v>179317.02000000002</v>
      </c>
      <c r="AY122" s="42">
        <f t="shared" si="30"/>
        <v>1576048.9300000002</v>
      </c>
      <c r="AZ122" s="42">
        <f t="shared" si="30"/>
        <v>1289412.8900000001</v>
      </c>
      <c r="BA122" s="42">
        <f t="shared" si="30"/>
        <v>65239.82</v>
      </c>
      <c r="BB122" s="42">
        <f t="shared" si="30"/>
        <v>1354652.71</v>
      </c>
      <c r="BC122" s="42">
        <f t="shared" si="30"/>
        <v>0</v>
      </c>
      <c r="BD122" s="42">
        <f t="shared" si="30"/>
        <v>0</v>
      </c>
      <c r="BE122" s="42">
        <f t="shared" si="30"/>
        <v>0</v>
      </c>
      <c r="BF122" s="42">
        <f t="shared" si="30"/>
        <v>0</v>
      </c>
      <c r="BG122" s="42">
        <f t="shared" si="30"/>
        <v>0</v>
      </c>
      <c r="BH122" s="42">
        <f t="shared" si="30"/>
        <v>0</v>
      </c>
      <c r="BI122" s="42">
        <f t="shared" si="30"/>
        <v>0</v>
      </c>
      <c r="BJ122" s="42">
        <f t="shared" si="30"/>
        <v>0</v>
      </c>
      <c r="BK122" s="42">
        <f t="shared" si="30"/>
        <v>0</v>
      </c>
      <c r="BL122" s="42">
        <f t="shared" si="30"/>
        <v>0</v>
      </c>
      <c r="BM122" s="42">
        <f t="shared" si="30"/>
        <v>0</v>
      </c>
      <c r="BN122" s="42">
        <f t="shared" si="30"/>
        <v>0</v>
      </c>
      <c r="BO122" s="42">
        <f t="shared" si="30"/>
        <v>12905914.24</v>
      </c>
      <c r="BP122" s="42">
        <f t="shared" si="30"/>
        <v>4491249.0299999993</v>
      </c>
      <c r="BQ122" s="42">
        <f t="shared" si="30"/>
        <v>4976901.8599999994</v>
      </c>
      <c r="BR122" s="42">
        <f t="shared" si="30"/>
        <v>0</v>
      </c>
      <c r="BS122" s="42">
        <f t="shared" si="30"/>
        <v>78859141.969999999</v>
      </c>
      <c r="BT122" s="42">
        <f t="shared" si="30"/>
        <v>78373489.140000001</v>
      </c>
      <c r="BU122" s="21">
        <f>BP122/AD122</f>
        <v>5.3754973211316261E-2</v>
      </c>
      <c r="BV122" s="21">
        <f>BQ122/AD122</f>
        <v>5.9567666894581012E-2</v>
      </c>
      <c r="BW122" s="21"/>
      <c r="BX122" s="21"/>
      <c r="BY122" s="42">
        <f>SUM(BY7:BY104)</f>
        <v>0</v>
      </c>
      <c r="BZ122" s="42"/>
    </row>
    <row r="123" spans="1:78" ht="15.75" thickTop="1" x14ac:dyDescent="0.2"/>
    <row r="125" spans="1:78" x14ac:dyDescent="0.2">
      <c r="AH125" s="105">
        <v>152423095</v>
      </c>
      <c r="AI125" s="102">
        <v>375226653</v>
      </c>
      <c r="AJ125" s="103">
        <v>495000000</v>
      </c>
    </row>
    <row r="126" spans="1:78" x14ac:dyDescent="0.2">
      <c r="AH126" s="105">
        <v>103158108</v>
      </c>
      <c r="AI126" s="102">
        <v>186003000</v>
      </c>
      <c r="AJ126" s="103">
        <v>404525120.73000002</v>
      </c>
    </row>
    <row r="127" spans="1:78" ht="16.5" thickBot="1" x14ac:dyDescent="0.3">
      <c r="AH127" s="316">
        <f>SUM(AH125:AH126)</f>
        <v>255581203</v>
      </c>
      <c r="AI127" s="316">
        <f>SUM(AI125:AI126)</f>
        <v>561229653</v>
      </c>
      <c r="AJ127" s="316">
        <f>SUM(AJ125:AJ126)</f>
        <v>899525120.73000002</v>
      </c>
    </row>
    <row r="129" spans="34:36" x14ac:dyDescent="0.2">
      <c r="AH129" s="102">
        <f>+AH127-AH122</f>
        <v>0</v>
      </c>
      <c r="AI129" s="102">
        <f>+AI127-AI122</f>
        <v>0</v>
      </c>
      <c r="AJ129" s="103">
        <f>+AJ127-AJ122</f>
        <v>0</v>
      </c>
    </row>
  </sheetData>
  <mergeCells count="1">
    <mergeCell ref="A2:BZ3"/>
  </mergeCells>
  <pageMargins left="0.70866141732283472" right="0.70866141732283472" top="0.74803149606299213" bottom="0.74803149606299213" header="0.31496062992125984" footer="0.31496062992125984"/>
  <pageSetup paperSize="9" scale="73" orientation="landscape" r:id="rId1"/>
  <headerFooter>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H16" sqref="H16"/>
    </sheetView>
  </sheetViews>
  <sheetFormatPr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2014-2017 Projects</vt:lpstr>
      <vt:lpstr>Summaries</vt:lpstr>
      <vt:lpstr>Housing</vt:lpstr>
      <vt:lpstr>Sheet1</vt:lpstr>
      <vt:lpstr>capex</vt:lpstr>
      <vt:lpstr>Housing!Print_Area</vt:lpstr>
      <vt:lpstr>Summaries!Print_Area</vt:lpstr>
      <vt:lpstr>'2014-2017 Projects'!Print_Titles</vt:lpstr>
      <vt:lpstr>Housing!Print_Titles</vt:lpstr>
    </vt:vector>
  </TitlesOfParts>
  <Company>BCM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ndzondik</dc:creator>
  <cp:lastModifiedBy> </cp:lastModifiedBy>
  <cp:lastPrinted>2014-11-17T07:06:28Z</cp:lastPrinted>
  <dcterms:created xsi:type="dcterms:W3CDTF">2011-03-07T12:31:57Z</dcterms:created>
  <dcterms:modified xsi:type="dcterms:W3CDTF">2014-11-17T07:39:47Z</dcterms:modified>
</cp:coreProperties>
</file>